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xl/tables/table10.xml" ContentType="application/vnd.openxmlformats-officedocument.spreadsheetml.table+xml"/>
  <Override PartName="/xl/tables/table100.xml" ContentType="application/vnd.openxmlformats-officedocument.spreadsheetml.table+xml"/>
  <Override PartName="/xl/tables/table101.xml" ContentType="application/vnd.openxmlformats-officedocument.spreadsheetml.table+xml"/>
  <Override PartName="/xl/tables/table102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tables/table16.xml" ContentType="application/vnd.openxmlformats-officedocument.spreadsheetml.table+xml"/>
  <Override PartName="/xl/tables/table17.xml" ContentType="application/vnd.openxmlformats-officedocument.spreadsheetml.table+xml"/>
  <Override PartName="/xl/tables/table18.xml" ContentType="application/vnd.openxmlformats-officedocument.spreadsheetml.table+xml"/>
  <Override PartName="/xl/tables/table19.xml" ContentType="application/vnd.openxmlformats-officedocument.spreadsheetml.table+xml"/>
  <Override PartName="/xl/tables/table2.xml" ContentType="application/vnd.openxmlformats-officedocument.spreadsheetml.table+xml"/>
  <Override PartName="/xl/tables/table20.xml" ContentType="application/vnd.openxmlformats-officedocument.spreadsheetml.table+xml"/>
  <Override PartName="/xl/tables/table21.xml" ContentType="application/vnd.openxmlformats-officedocument.spreadsheetml.table+xml"/>
  <Override PartName="/xl/tables/table22.xml" ContentType="application/vnd.openxmlformats-officedocument.spreadsheetml.table+xml"/>
  <Override PartName="/xl/tables/table23.xml" ContentType="application/vnd.openxmlformats-officedocument.spreadsheetml.table+xml"/>
  <Override PartName="/xl/tables/table24.xml" ContentType="application/vnd.openxmlformats-officedocument.spreadsheetml.table+xml"/>
  <Override PartName="/xl/tables/table25.xml" ContentType="application/vnd.openxmlformats-officedocument.spreadsheetml.table+xml"/>
  <Override PartName="/xl/tables/table26.xml" ContentType="application/vnd.openxmlformats-officedocument.spreadsheetml.table+xml"/>
  <Override PartName="/xl/tables/table27.xml" ContentType="application/vnd.openxmlformats-officedocument.spreadsheetml.table+xml"/>
  <Override PartName="/xl/tables/table28.xml" ContentType="application/vnd.openxmlformats-officedocument.spreadsheetml.table+xml"/>
  <Override PartName="/xl/tables/table29.xml" ContentType="application/vnd.openxmlformats-officedocument.spreadsheetml.table+xml"/>
  <Override PartName="/xl/tables/table3.xml" ContentType="application/vnd.openxmlformats-officedocument.spreadsheetml.table+xml"/>
  <Override PartName="/xl/tables/table30.xml" ContentType="application/vnd.openxmlformats-officedocument.spreadsheetml.table+xml"/>
  <Override PartName="/xl/tables/table31.xml" ContentType="application/vnd.openxmlformats-officedocument.spreadsheetml.table+xml"/>
  <Override PartName="/xl/tables/table32.xml" ContentType="application/vnd.openxmlformats-officedocument.spreadsheetml.table+xml"/>
  <Override PartName="/xl/tables/table33.xml" ContentType="application/vnd.openxmlformats-officedocument.spreadsheetml.table+xml"/>
  <Override PartName="/xl/tables/table34.xml" ContentType="application/vnd.openxmlformats-officedocument.spreadsheetml.table+xml"/>
  <Override PartName="/xl/tables/table35.xml" ContentType="application/vnd.openxmlformats-officedocument.spreadsheetml.table+xml"/>
  <Override PartName="/xl/tables/table36.xml" ContentType="application/vnd.openxmlformats-officedocument.spreadsheetml.table+xml"/>
  <Override PartName="/xl/tables/table37.xml" ContentType="application/vnd.openxmlformats-officedocument.spreadsheetml.table+xml"/>
  <Override PartName="/xl/tables/table38.xml" ContentType="application/vnd.openxmlformats-officedocument.spreadsheetml.table+xml"/>
  <Override PartName="/xl/tables/table39.xml" ContentType="application/vnd.openxmlformats-officedocument.spreadsheetml.table+xml"/>
  <Override PartName="/xl/tables/table4.xml" ContentType="application/vnd.openxmlformats-officedocument.spreadsheetml.table+xml"/>
  <Override PartName="/xl/tables/table40.xml" ContentType="application/vnd.openxmlformats-officedocument.spreadsheetml.table+xml"/>
  <Override PartName="/xl/tables/table41.xml" ContentType="application/vnd.openxmlformats-officedocument.spreadsheetml.table+xml"/>
  <Override PartName="/xl/tables/table42.xml" ContentType="application/vnd.openxmlformats-officedocument.spreadsheetml.table+xml"/>
  <Override PartName="/xl/tables/table43.xml" ContentType="application/vnd.openxmlformats-officedocument.spreadsheetml.table+xml"/>
  <Override PartName="/xl/tables/table44.xml" ContentType="application/vnd.openxmlformats-officedocument.spreadsheetml.table+xml"/>
  <Override PartName="/xl/tables/table45.xml" ContentType="application/vnd.openxmlformats-officedocument.spreadsheetml.table+xml"/>
  <Override PartName="/xl/tables/table46.xml" ContentType="application/vnd.openxmlformats-officedocument.spreadsheetml.table+xml"/>
  <Override PartName="/xl/tables/table47.xml" ContentType="application/vnd.openxmlformats-officedocument.spreadsheetml.table+xml"/>
  <Override PartName="/xl/tables/table48.xml" ContentType="application/vnd.openxmlformats-officedocument.spreadsheetml.table+xml"/>
  <Override PartName="/xl/tables/table49.xml" ContentType="application/vnd.openxmlformats-officedocument.spreadsheetml.table+xml"/>
  <Override PartName="/xl/tables/table5.xml" ContentType="application/vnd.openxmlformats-officedocument.spreadsheetml.table+xml"/>
  <Override PartName="/xl/tables/table50.xml" ContentType="application/vnd.openxmlformats-officedocument.spreadsheetml.table+xml"/>
  <Override PartName="/xl/tables/table51.xml" ContentType="application/vnd.openxmlformats-officedocument.spreadsheetml.table+xml"/>
  <Override PartName="/xl/tables/table52.xml" ContentType="application/vnd.openxmlformats-officedocument.spreadsheetml.table+xml"/>
  <Override PartName="/xl/tables/table53.xml" ContentType="application/vnd.openxmlformats-officedocument.spreadsheetml.table+xml"/>
  <Override PartName="/xl/tables/table54.xml" ContentType="application/vnd.openxmlformats-officedocument.spreadsheetml.table+xml"/>
  <Override PartName="/xl/tables/table55.xml" ContentType="application/vnd.openxmlformats-officedocument.spreadsheetml.table+xml"/>
  <Override PartName="/xl/tables/table56.xml" ContentType="application/vnd.openxmlformats-officedocument.spreadsheetml.table+xml"/>
  <Override PartName="/xl/tables/table57.xml" ContentType="application/vnd.openxmlformats-officedocument.spreadsheetml.table+xml"/>
  <Override PartName="/xl/tables/table58.xml" ContentType="application/vnd.openxmlformats-officedocument.spreadsheetml.table+xml"/>
  <Override PartName="/xl/tables/table59.xml" ContentType="application/vnd.openxmlformats-officedocument.spreadsheetml.table+xml"/>
  <Override PartName="/xl/tables/table6.xml" ContentType="application/vnd.openxmlformats-officedocument.spreadsheetml.table+xml"/>
  <Override PartName="/xl/tables/table60.xml" ContentType="application/vnd.openxmlformats-officedocument.spreadsheetml.table+xml"/>
  <Override PartName="/xl/tables/table61.xml" ContentType="application/vnd.openxmlformats-officedocument.spreadsheetml.table+xml"/>
  <Override PartName="/xl/tables/table62.xml" ContentType="application/vnd.openxmlformats-officedocument.spreadsheetml.table+xml"/>
  <Override PartName="/xl/tables/table63.xml" ContentType="application/vnd.openxmlformats-officedocument.spreadsheetml.table+xml"/>
  <Override PartName="/xl/tables/table64.xml" ContentType="application/vnd.openxmlformats-officedocument.spreadsheetml.table+xml"/>
  <Override PartName="/xl/tables/table65.xml" ContentType="application/vnd.openxmlformats-officedocument.spreadsheetml.table+xml"/>
  <Override PartName="/xl/tables/table66.xml" ContentType="application/vnd.openxmlformats-officedocument.spreadsheetml.table+xml"/>
  <Override PartName="/xl/tables/table67.xml" ContentType="application/vnd.openxmlformats-officedocument.spreadsheetml.table+xml"/>
  <Override PartName="/xl/tables/table68.xml" ContentType="application/vnd.openxmlformats-officedocument.spreadsheetml.table+xml"/>
  <Override PartName="/xl/tables/table69.xml" ContentType="application/vnd.openxmlformats-officedocument.spreadsheetml.table+xml"/>
  <Override PartName="/xl/tables/table7.xml" ContentType="application/vnd.openxmlformats-officedocument.spreadsheetml.table+xml"/>
  <Override PartName="/xl/tables/table70.xml" ContentType="application/vnd.openxmlformats-officedocument.spreadsheetml.table+xml"/>
  <Override PartName="/xl/tables/table71.xml" ContentType="application/vnd.openxmlformats-officedocument.spreadsheetml.table+xml"/>
  <Override PartName="/xl/tables/table72.xml" ContentType="application/vnd.openxmlformats-officedocument.spreadsheetml.table+xml"/>
  <Override PartName="/xl/tables/table73.xml" ContentType="application/vnd.openxmlformats-officedocument.spreadsheetml.table+xml"/>
  <Override PartName="/xl/tables/table74.xml" ContentType="application/vnd.openxmlformats-officedocument.spreadsheetml.table+xml"/>
  <Override PartName="/xl/tables/table75.xml" ContentType="application/vnd.openxmlformats-officedocument.spreadsheetml.table+xml"/>
  <Override PartName="/xl/tables/table76.xml" ContentType="application/vnd.openxmlformats-officedocument.spreadsheetml.table+xml"/>
  <Override PartName="/xl/tables/table77.xml" ContentType="application/vnd.openxmlformats-officedocument.spreadsheetml.table+xml"/>
  <Override PartName="/xl/tables/table78.xml" ContentType="application/vnd.openxmlformats-officedocument.spreadsheetml.table+xml"/>
  <Override PartName="/xl/tables/table79.xml" ContentType="application/vnd.openxmlformats-officedocument.spreadsheetml.table+xml"/>
  <Override PartName="/xl/tables/table8.xml" ContentType="application/vnd.openxmlformats-officedocument.spreadsheetml.table+xml"/>
  <Override PartName="/xl/tables/table80.xml" ContentType="application/vnd.openxmlformats-officedocument.spreadsheetml.table+xml"/>
  <Override PartName="/xl/tables/table81.xml" ContentType="application/vnd.openxmlformats-officedocument.spreadsheetml.table+xml"/>
  <Override PartName="/xl/tables/table82.xml" ContentType="application/vnd.openxmlformats-officedocument.spreadsheetml.table+xml"/>
  <Override PartName="/xl/tables/table83.xml" ContentType="application/vnd.openxmlformats-officedocument.spreadsheetml.table+xml"/>
  <Override PartName="/xl/tables/table84.xml" ContentType="application/vnd.openxmlformats-officedocument.spreadsheetml.table+xml"/>
  <Override PartName="/xl/tables/table85.xml" ContentType="application/vnd.openxmlformats-officedocument.spreadsheetml.table+xml"/>
  <Override PartName="/xl/tables/table86.xml" ContentType="application/vnd.openxmlformats-officedocument.spreadsheetml.table+xml"/>
  <Override PartName="/xl/tables/table87.xml" ContentType="application/vnd.openxmlformats-officedocument.spreadsheetml.table+xml"/>
  <Override PartName="/xl/tables/table88.xml" ContentType="application/vnd.openxmlformats-officedocument.spreadsheetml.table+xml"/>
  <Override PartName="/xl/tables/table89.xml" ContentType="application/vnd.openxmlformats-officedocument.spreadsheetml.table+xml"/>
  <Override PartName="/xl/tables/table9.xml" ContentType="application/vnd.openxmlformats-officedocument.spreadsheetml.table+xml"/>
  <Override PartName="/xl/tables/table90.xml" ContentType="application/vnd.openxmlformats-officedocument.spreadsheetml.table+xml"/>
  <Override PartName="/xl/tables/table91.xml" ContentType="application/vnd.openxmlformats-officedocument.spreadsheetml.table+xml"/>
  <Override PartName="/xl/tables/table92.xml" ContentType="application/vnd.openxmlformats-officedocument.spreadsheetml.table+xml"/>
  <Override PartName="/xl/tables/table93.xml" ContentType="application/vnd.openxmlformats-officedocument.spreadsheetml.table+xml"/>
  <Override PartName="/xl/tables/table94.xml" ContentType="application/vnd.openxmlformats-officedocument.spreadsheetml.table+xml"/>
  <Override PartName="/xl/tables/table95.xml" ContentType="application/vnd.openxmlformats-officedocument.spreadsheetml.table+xml"/>
  <Override PartName="/xl/tables/table96.xml" ContentType="application/vnd.openxmlformats-officedocument.spreadsheetml.table+xml"/>
  <Override PartName="/xl/tables/table97.xml" ContentType="application/vnd.openxmlformats-officedocument.spreadsheetml.table+xml"/>
  <Override PartName="/xl/tables/table98.xml" ContentType="application/vnd.openxmlformats-officedocument.spreadsheetml.table+xml"/>
  <Override PartName="/xl/tables/table99.xml" ContentType="application/vnd.openxmlformats-officedocument.spreadsheetml.table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workbookProtection/>
  <bookViews>
    <workbookView windowWidth="28800" windowHeight="12495" tabRatio="680" firstSheet="2" activeTab="9"/>
  </bookViews>
  <sheets>
    <sheet name="Orientações" sheetId="1" state="hidden" r:id="rId1"/>
    <sheet name="Servente" sheetId="2" state="hidden" r:id="rId2"/>
    <sheet name="Tradutor-Intérprete" sheetId="14" r:id="rId3"/>
    <sheet name="Transcritor Braille" sheetId="11" r:id="rId4"/>
    <sheet name="Cuidador" sheetId="15" r:id="rId5"/>
    <sheet name="Audiodescritor" sheetId="16" r:id="rId6"/>
    <sheet name="Alfabetizador EJA" sheetId="17" r:id="rId7"/>
    <sheet name="Psicopedagogo" sheetId="18" r:id="rId8"/>
    <sheet name="Uniformes" sheetId="12" r:id="rId9"/>
    <sheet name="RESUMO" sheetId="13" r:id="rId10"/>
  </sheets>
  <definedNames>
    <definedName name="SalarioBase">Servente!$D$5</definedName>
    <definedName name="Salário_Normativo_da_Categoria_Profissional">Servente!$D$5</definedName>
    <definedName name="Total1">Servente!#REF!</definedName>
    <definedName name="Total2.1">Servente!#REF!</definedName>
    <definedName name="Total2.2">Servente!#REF!</definedName>
    <definedName name="Total2.3">Servente!#REF!</definedName>
    <definedName name="_1A">Servente!$D$11</definedName>
    <definedName name="_1B">Servente!$D$12</definedName>
    <definedName name="_1C">Servente!$D$13</definedName>
    <definedName name="_1D">Servente!$D$14</definedName>
    <definedName name="_1E">Servente!$D$15</definedName>
    <definedName name="_1F">Servente!$D$16</definedName>
    <definedName name="_2.1A">Servente!$D$22</definedName>
    <definedName name="_2.1B">Servente!$D$23</definedName>
    <definedName name="_2.3A">Servente!$D$49</definedName>
    <definedName name="_2.3B">Servente!$D$50</definedName>
    <definedName name="_2.3C">Servente!$D$51</definedName>
    <definedName name="_2.3D">Servente!$D$52</definedName>
    <definedName name="_xlcn.WorksheetConnection_PlanilhaLimpeza.xlsxTable3">#REF!</definedName>
  </definedNames>
  <calcPr calcId="144525"/>
</workbook>
</file>

<file path=xl/comments1.xml><?xml version="1.0" encoding="utf-8"?>
<comments xmlns="http://schemas.openxmlformats.org/spreadsheetml/2006/main">
  <authors>
    <author xml:space="preserve"> </author>
  </authors>
  <commentList>
    <comment ref="G16" authorId="0">
      <text>
        <r>
          <rPr>
            <sz val="9"/>
            <rFont val="Tahoma"/>
            <charset val="134"/>
          </rPr>
          <t>Daniel Carlos:
Valores que constam no caderno técnico. A unidade deve realizar pesquisa de mercado para o levantamento do percentual médio destas rubricas.</t>
        </r>
      </text>
    </comment>
  </commentList>
</comments>
</file>

<file path=xl/sharedStrings.xml><?xml version="1.0" encoding="utf-8"?>
<sst xmlns="http://schemas.openxmlformats.org/spreadsheetml/2006/main" count="1874" uniqueCount="280">
  <si>
    <t>Orientações para utilização desta Planilha</t>
  </si>
  <si>
    <t>Esta planilha tem como finalidade orientar o planejamento da contratação e fundamentar seu custo estimado , conforme item 2.9, b, do Anexo V da Instrução Normativa SEGES/MPDG nº 05, de 2017.</t>
  </si>
  <si>
    <t>Além dos cálculos e valores constantes na própria IN 05/2017, foi utilizada a metodologia de cálculo constante no caderno técnico de limpeza do Ministério do Planejamento.</t>
  </si>
  <si>
    <r>
      <rPr>
        <sz val="11"/>
        <color rgb="FF000000"/>
        <rFont val="Calibri"/>
        <charset val="134"/>
      </rPr>
      <t xml:space="preserve">Para não haver alteração nas fórmulas constantes nas planilhas, recomenda-se, com exceção da aba "Ambientes", que somente se altere os valores que constam células com fundo </t>
    </r>
    <r>
      <rPr>
        <u/>
        <sz val="11"/>
        <color rgb="FFF4B183"/>
        <rFont val="Calibri"/>
        <charset val="134"/>
      </rPr>
      <t>laranja.</t>
    </r>
  </si>
  <si>
    <t>A lista de materiais, equipamentos, EPIs e Uniformes, bem como seus respectivos valores unitários são meramente exemplificativos. Cabe à equipe de planejamento realizar o levantamento dos materiais e respectivos quantitativos necessários à execução dos serviços, bem como realizar pesquisa de preço de cada insumo, inserindo-os na planilha.</t>
  </si>
  <si>
    <t>Esta planilha calcula automaticamente o quantitativo de área para cada tipo previsto na IN 05/2017, de acordo com os ambientes inseridos na tabela correspondente. Caso a unidade já tenha o quantitativo consolidade, decorrente de estimativas pretéritas, basta inserir os valores diretamente na planilha "Tipos de Área e Produtividade", na coluna "Quantidade" (Obs. Recomenda-se apagar todo o conteúdo da coluna antes de inserir os valores).</t>
  </si>
  <si>
    <t xml:space="preserve">As produtividades que a unidade deseja utilizar deve ser inserida na planilha "Tipos de Área e Produtividade" no campo "Produtividade Personalizada". A planilha calculará automaticamente o quantitativo de serventes previsto, com base na quantidade demandada e na produtividade inserida. </t>
  </si>
  <si>
    <t>A planilha automaticamente arredonda o quantitativo de serventes, realizando os devidos ajustes nas produtividades e as utilizando para os demais cálculos da planilha.</t>
  </si>
  <si>
    <t>Caso a unidade opte pela não utilização do encarregado (recomendado nos casos de quantitativos pequenos de servente), os valores da coluna "Preço Homem Mês - Encarregado" deve ser removido.</t>
  </si>
  <si>
    <t>Foi utilizado os percentuais de lucro e custos indireitos do caderno técnico de limpeza. Recomenda-se que seja realizada pesquisa de mercado para apuração do média de mercado para tais rubricas.</t>
  </si>
  <si>
    <t>Em caso de dúvidas ou sugestões, entrar em contato por meio do e-mail: daniel.souza@ifpb.edu.br ou danieloxyjp@gmail.com</t>
  </si>
  <si>
    <t>Última atualização: 28/02/2019</t>
  </si>
  <si>
    <t xml:space="preserve"> Daniel Carlos Cruz de Souza</t>
  </si>
  <si>
    <t>Coordenação de Planejamento em Aquisições - Reitoria/IFPB</t>
  </si>
  <si>
    <t>Dados para composição dos custos referentes a mão de obra</t>
  </si>
  <si>
    <t>Dados Gerais</t>
  </si>
  <si>
    <t>Item</t>
  </si>
  <si>
    <t>Descrição</t>
  </si>
  <si>
    <t>Comentário</t>
  </si>
  <si>
    <t>Valor</t>
  </si>
  <si>
    <t xml:space="preserve">Tipo de Serviço </t>
  </si>
  <si>
    <t>Limpeza</t>
  </si>
  <si>
    <t>Valor do Vale Transporte</t>
  </si>
  <si>
    <t>Classificação Brasileira de Ocupações (CBO)</t>
  </si>
  <si>
    <t xml:space="preserve">5143-20 </t>
  </si>
  <si>
    <t>Valor do Auxílio Alimentação</t>
  </si>
  <si>
    <t>Salário Normativo da Categoria Profissional</t>
  </si>
  <si>
    <t>Salário Mínimo (Decreto</t>
  </si>
  <si>
    <t>Dias de Trabalho no mês</t>
  </si>
  <si>
    <t>Categoria Profissional</t>
  </si>
  <si>
    <t xml:space="preserve"> CCT PB000405/2018 </t>
  </si>
  <si>
    <t>Servente de Limpeza</t>
  </si>
  <si>
    <t>RAT x SAT</t>
  </si>
  <si>
    <t>Data-Base da Categoria</t>
  </si>
  <si>
    <t>01 de Janeiro</t>
  </si>
  <si>
    <t>Dados sobre Desligamento</t>
  </si>
  <si>
    <t>Módulo 1 - Composição da Remuneração</t>
  </si>
  <si>
    <t>Tipos</t>
  </si>
  <si>
    <t>Percentual</t>
  </si>
  <si>
    <t>1</t>
  </si>
  <si>
    <t>Composição da Remuneração</t>
  </si>
  <si>
    <t>SEM justa causa - AP INDENIZADO</t>
  </si>
  <si>
    <t>A</t>
  </si>
  <si>
    <t>Salário-Base</t>
  </si>
  <si>
    <t>SEM justa causa - AP TRABALHADO</t>
  </si>
  <si>
    <t>B</t>
  </si>
  <si>
    <t>Adicional de Periculosidade</t>
  </si>
  <si>
    <t>Demissões COM justa causa</t>
  </si>
  <si>
    <t>C</t>
  </si>
  <si>
    <t>Adicional de Insalubridade</t>
  </si>
  <si>
    <t>D</t>
  </si>
  <si>
    <t>Adicional Noturno</t>
  </si>
  <si>
    <t>CITL</t>
  </si>
  <si>
    <t>E</t>
  </si>
  <si>
    <t>Adicional de Hora Noturna Reduzida</t>
  </si>
  <si>
    <t>F</t>
  </si>
  <si>
    <t>Outros (especificar)</t>
  </si>
  <si>
    <t>Custos indiretos</t>
  </si>
  <si>
    <t>Total</t>
  </si>
  <si>
    <t>Lucro</t>
  </si>
  <si>
    <t>PIS</t>
  </si>
  <si>
    <t>Módulo 2 - Encargos e Benefícios Anuais, Mensais e Diários</t>
  </si>
  <si>
    <t>COFINS</t>
  </si>
  <si>
    <t> Submódulo 2.1 - 13º (décimo terceiro) Salário, Férias e Adicional de Férias</t>
  </si>
  <si>
    <t>ISS</t>
  </si>
  <si>
    <t>2.1</t>
  </si>
  <si>
    <t>13º (décimo terceiro) Salário, Férias e Adicional de Férias</t>
  </si>
  <si>
    <t>13º (décimo terceiro) Salário</t>
  </si>
  <si>
    <t>Férias e Adicional de Férias</t>
  </si>
  <si>
    <t>Memória de Cálculo - Submódulo 2.1</t>
  </si>
  <si>
    <t>Rubrica</t>
  </si>
  <si>
    <t>Base de Cálculo</t>
  </si>
  <si>
    <t>Memória de Cálculo</t>
  </si>
  <si>
    <t>13 º (décimo terceiro) Salário</t>
  </si>
  <si>
    <t>Módulo 1 (Total)</t>
  </si>
  <si>
    <t>8,33%  x Base de Cálculo, Sendo 8,33% = 1 ÷ 12</t>
  </si>
  <si>
    <t>Base de Cálculo x [(1 ÷ 12) x ( 1 + (1 ÷ 3))]</t>
  </si>
  <si>
    <t>Submódulo 2.2 - Encargos Previdenciários (GPS), Fundo de Garantia por Tempo de Serviço (FGTS) e outras contribuições.</t>
  </si>
  <si>
    <t>2.2</t>
  </si>
  <si>
    <t>GPS, FGTS e outras contribuições</t>
  </si>
  <si>
    <t xml:space="preserve">Valor </t>
  </si>
  <si>
    <t>INSS</t>
  </si>
  <si>
    <t>Salário Educação</t>
  </si>
  <si>
    <t>SAT</t>
  </si>
  <si>
    <t>SESC ou SESI</t>
  </si>
  <si>
    <t>SENAI - SENAC</t>
  </si>
  <si>
    <t>SEBRAE</t>
  </si>
  <si>
    <t>G</t>
  </si>
  <si>
    <t>INCRA</t>
  </si>
  <si>
    <t>H</t>
  </si>
  <si>
    <t>FGTS</t>
  </si>
  <si>
    <t>Memória de Cálculo - Submódulo 2.2</t>
  </si>
  <si>
    <t>A a H</t>
  </si>
  <si>
    <t>Módulo 1 (Total) + Submódulo 2.1</t>
  </si>
  <si>
    <t>Alíquota x Base de Cálculo</t>
  </si>
  <si>
    <t>Submódulo 2.3 - Benefícios Mensais e Diários.</t>
  </si>
  <si>
    <t>2.3</t>
  </si>
  <si>
    <t>Benefícios Mensais e Diários</t>
  </si>
  <si>
    <t>Transporte</t>
  </si>
  <si>
    <t>Auxílio-Refeição/Alimentação</t>
  </si>
  <si>
    <t>Assistência Médica e Familiar</t>
  </si>
  <si>
    <t>Memória de Cálculo - Submódulo 2.3</t>
  </si>
  <si>
    <t>-</t>
  </si>
  <si>
    <t>(Valor do Vale x 2 Vales/dia x Dias de Trabalho) - 6% x Salário Base</t>
  </si>
  <si>
    <t>(Valor do Vale Alim. x Qtde. Dias de Trab)  x 80%</t>
  </si>
  <si>
    <t>Quadro-Resumo do Módulo 2 - Encargos e Benefícios anuais, mensais e diários</t>
  </si>
  <si>
    <t>2</t>
  </si>
  <si>
    <t>Encargos e Benefícios Anuais, Mensais e Diários</t>
  </si>
  <si>
    <t>Módulo 3 - Provisão para Rescisão</t>
  </si>
  <si>
    <t>3</t>
  </si>
  <si>
    <t>Provisão para Rescisão</t>
  </si>
  <si>
    <t>Aviso Prévio Indenizado</t>
  </si>
  <si>
    <t>Incidência do FGTS sobre o Aviso Prévio Indenizado</t>
  </si>
  <si>
    <t>Multa do FGTS e contribuição social sobre o Aviso Prévio Indenizado</t>
  </si>
  <si>
    <t>Aviso Prévio Trabalhado</t>
  </si>
  <si>
    <t>Multa do FGTS e contribuição social sobre o Aviso Prévio Trabalhado</t>
  </si>
  <si>
    <t>(-)Demissão por justa causa</t>
  </si>
  <si>
    <t>Memória de Cálculo - Módulo 3</t>
  </si>
  <si>
    <t>Módulo 1 (Total) + Submódulo 2.1 + Submódulo 2.3</t>
  </si>
  <si>
    <t>(Base de Cálculo / 12) x Percentual de AP Indenizado (Tabela "Dados sobre desligamento")</t>
  </si>
  <si>
    <t>Item H do submódulo 2.2 (FGTS)</t>
  </si>
  <si>
    <t>Base de Cálculo x 50 % (40% de multa + 10% contribuição social) x Percentual de AP Indenizado (Tabela "Dados sobre desligamento")</t>
  </si>
  <si>
    <t>Módulo 1 (Total) + Módulo 2 (Total)</t>
  </si>
  <si>
    <t>(Base de Cálculo / 12) x Percentual de AP Trabalhado (Tabela "Dados sobre desligamento")</t>
  </si>
  <si>
    <t>Base de Cálculo x 50 % (40% de multa + 10% contribuição social) x Percentual de AP Trabalhado (Tabela "Dados sobre desligamento")</t>
  </si>
  <si>
    <t>Submódulo 2.1</t>
  </si>
  <si>
    <t>Base de Cálculo x Percentual de Demissões COM justa Causa (Tabela "Dados sobre desligamento")</t>
  </si>
  <si>
    <t xml:space="preserve">Módulo 4 - Custo de Reposição do Profissional Ausente
</t>
  </si>
  <si>
    <t>Submódulo 4.1 - Substituto nas Ausências Legais</t>
  </si>
  <si>
    <t>4.1</t>
  </si>
  <si>
    <t>Substituto nas Ausências Legais</t>
  </si>
  <si>
    <t>Dias de ausência</t>
  </si>
  <si>
    <t>Substituto na cobertura de Férias</t>
  </si>
  <si>
    <t>Substituto na cobertura de Ausências Legais</t>
  </si>
  <si>
    <t>Substituto na cobertura de Licença-Paternidade</t>
  </si>
  <si>
    <t>Substituto na cobertura de Ausência por acidente de trabalho</t>
  </si>
  <si>
    <t>Substituto na cobertura de Afastamento Maternidade</t>
  </si>
  <si>
    <t>Substituto na cobertura de Ausência por Doença</t>
  </si>
  <si>
    <t>Memória de Cálculo - Módulo 4</t>
  </si>
  <si>
    <t>A a F</t>
  </si>
  <si>
    <t>Dias de Ausência conforme caderno técnico de limpeza/PB 2018, p. 20.</t>
  </si>
  <si>
    <t>Valor das rubricas de A a F</t>
  </si>
  <si>
    <t xml:space="preserve">Custo diário para o repositor = (Módulo 1 + Módulo 2 + Módulo 3) / 30 </t>
  </si>
  <si>
    <t>Base de cálculo x Dias de Ausência</t>
  </si>
  <si>
    <t>Submódulo 4.2 - Substituto na Intrajornada</t>
  </si>
  <si>
    <t>4.2</t>
  </si>
  <si>
    <t>Substituto na Intrajornada </t>
  </si>
  <si>
    <t>Substituto na cobertura de Intervalo para repouso ou alimentação</t>
  </si>
  <si>
    <t>Quadro-Resumo do Módulo 4 - Custo de Reposição do Profissional Ausente</t>
  </si>
  <si>
    <t>4</t>
  </si>
  <si>
    <t>Custo de Reposição do Profissional Ausente</t>
  </si>
  <si>
    <t>Substituto na Intrajornada</t>
  </si>
  <si>
    <t>Módulo 5 - Insumos Diversos</t>
  </si>
  <si>
    <t>5</t>
  </si>
  <si>
    <t>Insumos Diversos</t>
  </si>
  <si>
    <t>Uniformes</t>
  </si>
  <si>
    <t>Materiais</t>
  </si>
  <si>
    <t>Equipamentos</t>
  </si>
  <si>
    <t>EPI</t>
  </si>
  <si>
    <t>Memória de Cálculo - Módulo 5</t>
  </si>
  <si>
    <t>Tabela Uniformes Serventes</t>
  </si>
  <si>
    <t>Total da Tabela Materiais</t>
  </si>
  <si>
    <t>Base de Cálculo / Qtde. de Serventes</t>
  </si>
  <si>
    <t>Custo total dos equipamentos (Manutenção + Depreciação)</t>
  </si>
  <si>
    <t>Módulo 6 - Custos Indiretos, Tributos e Lucro</t>
  </si>
  <si>
    <t>6</t>
  </si>
  <si>
    <t>Custos Indiretos, Tributos e Lucro</t>
  </si>
  <si>
    <t>Custos Indiretos</t>
  </si>
  <si>
    <t>Tributos</t>
  </si>
  <si>
    <t>C.1</t>
  </si>
  <si>
    <t>C.2</t>
  </si>
  <si>
    <t>C.3</t>
  </si>
  <si>
    <t>QUADRO-RESUMO DO CUSTO POR EMPREGADO</t>
  </si>
  <si>
    <t>Mão de obra vinculada à execução contratual</t>
  </si>
  <si>
    <t>Módulo 4 - Custo de Reposição do Profissional Ausente</t>
  </si>
  <si>
    <t>Subtotal (A + B +C+ D+E)</t>
  </si>
  <si>
    <t>Valor Total por Empregado</t>
  </si>
  <si>
    <t>PLANILHA DE CUSTOS E FORMAÇÃO DE PREÇOS</t>
  </si>
  <si>
    <r>
      <rPr>
        <b/>
        <sz val="11"/>
        <color rgb="FF000000"/>
        <rFont val="Calibri"/>
        <charset val="134"/>
      </rPr>
      <t xml:space="preserve">Processo Administrativo n.° </t>
    </r>
    <r>
      <rPr>
        <sz val="11"/>
        <color rgb="FF000000"/>
        <rFont val="Calibri"/>
        <charset val="134"/>
      </rPr>
      <t>23381.008656.2021-71</t>
    </r>
  </si>
  <si>
    <t>Licitação n°</t>
  </si>
  <si>
    <t>007/2021</t>
  </si>
  <si>
    <t>Discriminação dos Serviços (Dados Referente à Contratação)</t>
  </si>
  <si>
    <t>Data -  Apresentação da Proposta</t>
  </si>
  <si>
    <t>....../......./20.......</t>
  </si>
  <si>
    <t>Município - ISSQN</t>
  </si>
  <si>
    <t>ISSQN 5 % (cinco por cento)</t>
  </si>
  <si>
    <t>Ano Acordo, Convenção ou Dissídio Coletivo</t>
  </si>
  <si>
    <t>CCT PB000047/2021</t>
  </si>
  <si>
    <t>Número de Meses de Execução Contratual</t>
  </si>
  <si>
    <t>12 (doze) meses</t>
  </si>
  <si>
    <t>Identificação do Serviço</t>
  </si>
  <si>
    <t>Tipo de Serviço</t>
  </si>
  <si>
    <t>Unidade de Medida</t>
  </si>
  <si>
    <t>Quantidade Total a Contratar</t>
  </si>
  <si>
    <t>Tradutor-Intérprete de Libras</t>
  </si>
  <si>
    <t>44 horas</t>
  </si>
  <si>
    <t>MTE</t>
  </si>
  <si>
    <t>2614-25</t>
  </si>
  <si>
    <t>SEAC-PB</t>
  </si>
  <si>
    <t>01/JANEIRO</t>
  </si>
  <si>
    <t>GRUPO XII c/c § 4º</t>
  </si>
  <si>
    <t>BASE DE CÁLCULO PARA O SUBMÓDULO 2.2</t>
  </si>
  <si>
    <t>MÓDULO 1</t>
  </si>
  <si>
    <t>MÓDULO 2.1</t>
  </si>
  <si>
    <t>TOTAL</t>
  </si>
  <si>
    <t>SAT (+FAP de 0,5 a 2,0) (Variação: 0,5% a 6 %)</t>
  </si>
  <si>
    <r>
      <rPr>
        <sz val="11"/>
        <color rgb="FF000000"/>
        <rFont val="Calibri"/>
        <charset val="134"/>
      </rPr>
      <t>Intervalo Intrajornada (</t>
    </r>
    <r>
      <rPr>
        <sz val="10"/>
        <color rgb="FF000000"/>
        <rFont val="Calibri"/>
        <charset val="134"/>
      </rPr>
      <t>não usufruído pelo empregado</t>
    </r>
    <r>
      <rPr>
        <sz val="11"/>
        <color rgb="FF000000"/>
        <rFont val="Calibri"/>
        <charset val="134"/>
      </rPr>
      <t>)</t>
    </r>
  </si>
  <si>
    <t>Benefício Odontológico</t>
  </si>
  <si>
    <t>Auxílio Morte/Funeral</t>
  </si>
  <si>
    <t>Incidência de GPS, FGTS e outras contribuições sobre o Aviso Prévio Trabalhado</t>
  </si>
  <si>
    <t>BASE DE CÁLCULO PARA O MÓDULO 4</t>
  </si>
  <si>
    <t>MÓDULO 2</t>
  </si>
  <si>
    <t>MÓDULO 3</t>
  </si>
  <si>
    <t>Substituto na cobertura de 13º (décimo terceiro) Salário, Férias e Adicional de Férias</t>
  </si>
  <si>
    <t>Substituto na cobertura de Outras ausências (especificar)</t>
  </si>
  <si>
    <t>*Nota: APLICÁVEL, APENAS, PARA quando o TITULAR do posto USUFRUIR do descanso intrajornada e o posto de trabalho NÃO PUDER FICAR DESCOBERTO</t>
  </si>
  <si>
    <t>*=TRUNCAR(($D$86/220)*(1*(365/12))/2)</t>
  </si>
  <si>
    <t>*Nota: Se o titular USUFRUIR do descanso intrajornada, o total é o somatório dos subitens 4.1 e 4.2</t>
  </si>
  <si>
    <t>Uniformes e Equipamento de Proteção Individual - EPI</t>
  </si>
  <si>
    <t>Equipamentos de Proteção Coletiva - EPC</t>
  </si>
  <si>
    <t>Diárias</t>
  </si>
  <si>
    <t>BASE DE CÁLCULO PARA O MÓDULO 6</t>
  </si>
  <si>
    <t>MÓDULO 4</t>
  </si>
  <si>
    <t>MÓDULO 5</t>
  </si>
  <si>
    <t>CÁLCULO POR DENTRO</t>
  </si>
  <si>
    <t>TOTAL DOS TRIBUTOS</t>
  </si>
  <si>
    <t>BASE DE CÁLCULO</t>
  </si>
  <si>
    <t>ÍNDICE</t>
  </si>
  <si>
    <t>C.1 - PIS</t>
  </si>
  <si>
    <t>C.2 - COFINS</t>
  </si>
  <si>
    <t>C.3 - ISS</t>
  </si>
  <si>
    <t>VALOR TOTAL POR EMPREGADO</t>
  </si>
  <si>
    <t>Transcritor de Sistema Braille</t>
  </si>
  <si>
    <t>2392-25</t>
  </si>
  <si>
    <t>GRUPO XII c/c § 5º</t>
  </si>
  <si>
    <t>Cuidador</t>
  </si>
  <si>
    <t>5162-10</t>
  </si>
  <si>
    <t>Audiodescritor</t>
  </si>
  <si>
    <t>2614-30</t>
  </si>
  <si>
    <t>Alfabetizador de Joves e Adultos</t>
  </si>
  <si>
    <t>2312-05</t>
  </si>
  <si>
    <t>Psicopedagogo Educacional</t>
  </si>
  <si>
    <t>2394-25</t>
  </si>
  <si>
    <t>UNIFORMES</t>
  </si>
  <si>
    <t>AUXILIAR ADMINISTRATIVO</t>
  </si>
  <si>
    <t>ITEM</t>
  </si>
  <si>
    <t>PEÇA</t>
  </si>
  <si>
    <t>DESCRIÇÃO</t>
  </si>
  <si>
    <t>UNIDADE</t>
  </si>
  <si>
    <t>VALOR MÉDIO UNITÁRIO (R$)</t>
  </si>
  <si>
    <t>QUANTIDADE ANUAL</t>
  </si>
  <si>
    <t>VALOR ANUAL POR EMPREGADO (R$)</t>
  </si>
  <si>
    <t>VALOR MENSAL POR EMPREGADO (R$)</t>
  </si>
  <si>
    <t>CALÇA</t>
  </si>
  <si>
    <t>Calça ou Saia social, na cor preta, em tecido de poliviscose.</t>
  </si>
  <si>
    <t>Unidade</t>
  </si>
  <si>
    <t>BLAZER</t>
  </si>
  <si>
    <t>Blazer social de mangas longas, abotoamento frontal contendo a identificação da Contratada.</t>
  </si>
  <si>
    <t>CAMISA</t>
  </si>
  <si>
    <t>Camisa social, na cor branca, de mangas  3/4, tecido com o mínimo de 50% de fibras naturais, contendo a identificação da Contratada.</t>
  </si>
  <si>
    <t>Camisa tipo Polo em Piquet de Malha – 50% algodão e 50% poliéster,  com mangas curtas, identificação da empresa na parte frontal, na cor Branca.</t>
  </si>
  <si>
    <t>CALÇADO</t>
  </si>
  <si>
    <t>Sapato em couro, na cor preta, solado antiderrapante.</t>
  </si>
  <si>
    <t>Par</t>
  </si>
  <si>
    <t>MEIA</t>
  </si>
  <si>
    <t>Meia, modelo cano alto , composição: 88% Algodão, 2% Lycra e 10% Poliamida, na cor preta.</t>
  </si>
  <si>
    <t>CRACHÁ</t>
  </si>
  <si>
    <t xml:space="preserve"> Crachá de identiﬁcação, em plástico rígido, contendo logomarca da empresa, foto e nome completo do funcionário.</t>
  </si>
  <si>
    <t>PLANILHA RESUMO</t>
  </si>
  <si>
    <t>Quantidade</t>
  </si>
  <si>
    <t>VIGÊNCIA (Mês)</t>
  </si>
  <si>
    <t>VALOR UNITÁRIO MÁXIMO ACEITÁVEL</t>
  </si>
  <si>
    <t>VALOR TOTAL MÁXIMO ACEITÁVEL</t>
  </si>
  <si>
    <r>
      <rPr>
        <sz val="11"/>
        <color theme="1"/>
        <rFont val="Calibri"/>
        <charset val="134"/>
        <scheme val="minor"/>
      </rPr>
      <t xml:space="preserve">PRESTAÇÃO DE SERVIÇOS DE APOIO NAPNE - Posto de serviços: </t>
    </r>
    <r>
      <rPr>
        <b/>
        <i/>
        <sz val="11"/>
        <color theme="1"/>
        <rFont val="Calibri"/>
        <charset val="134"/>
        <scheme val="minor"/>
      </rPr>
      <t>TRADUTOR-INTÉRPRETE DE LIBRAS - CBO: 2614-25</t>
    </r>
    <r>
      <rPr>
        <sz val="11"/>
        <color theme="1"/>
        <rFont val="Calibri"/>
        <charset val="134"/>
        <scheme val="minor"/>
      </rPr>
      <t>, em jornada semanal de 44 (quarenta e quatro) horas;</t>
    </r>
  </si>
  <si>
    <t>POSTO</t>
  </si>
  <si>
    <r>
      <rPr>
        <sz val="11"/>
        <color theme="1"/>
        <rFont val="Calibri"/>
        <charset val="134"/>
        <scheme val="minor"/>
      </rPr>
      <t xml:space="preserve">PRESTAÇÃO DE SERVIÇOS DE APOIO NAPNE - Posto de serviços: </t>
    </r>
    <r>
      <rPr>
        <b/>
        <i/>
        <sz val="11"/>
        <color theme="1"/>
        <rFont val="Calibri"/>
        <charset val="134"/>
        <scheme val="minor"/>
      </rPr>
      <t>TRANSCRITOR DE SISTEMA BRAILLE - CBO: 2392-25</t>
    </r>
    <r>
      <rPr>
        <sz val="11"/>
        <color theme="1"/>
        <rFont val="Calibri"/>
        <charset val="134"/>
        <scheme val="minor"/>
      </rPr>
      <t>, em jornada semanal de 44 (quarenta e quatro) horas;</t>
    </r>
  </si>
  <si>
    <r>
      <rPr>
        <sz val="11"/>
        <color theme="1"/>
        <rFont val="Calibri"/>
        <charset val="134"/>
        <scheme val="minor"/>
      </rPr>
      <t xml:space="preserve">PRESTAÇÃO DE SERVIÇOS DE APOIO NAPNE - Posto de serviços: </t>
    </r>
    <r>
      <rPr>
        <b/>
        <i/>
        <sz val="11"/>
        <color theme="1"/>
        <rFont val="Calibri"/>
        <charset val="134"/>
        <scheme val="minor"/>
      </rPr>
      <t>CUIDADOR - CBO: 5162-10</t>
    </r>
    <r>
      <rPr>
        <sz val="11"/>
        <color theme="1"/>
        <rFont val="Calibri"/>
        <charset val="134"/>
        <scheme val="minor"/>
      </rPr>
      <t>, em jornada semanal de 44 (quarenta e quatro) horas;</t>
    </r>
  </si>
  <si>
    <r>
      <rPr>
        <sz val="11"/>
        <color theme="1"/>
        <rFont val="Calibri"/>
        <charset val="134"/>
        <scheme val="minor"/>
      </rPr>
      <t xml:space="preserve">PRESTAÇÃO DE SERVIÇOS DE APOIO NAPNE - Posto de serviços: </t>
    </r>
    <r>
      <rPr>
        <b/>
        <i/>
        <sz val="11"/>
        <color theme="1"/>
        <rFont val="Calibri"/>
        <charset val="134"/>
        <scheme val="minor"/>
      </rPr>
      <t>AUDIODESCRITOR - CBO: 2614-30</t>
    </r>
    <r>
      <rPr>
        <sz val="11"/>
        <color theme="1"/>
        <rFont val="Calibri"/>
        <charset val="134"/>
        <scheme val="minor"/>
      </rPr>
      <t>, em jornada semanal de 44 (quarenta e quatro) horas;</t>
    </r>
  </si>
  <si>
    <r>
      <rPr>
        <sz val="11"/>
        <color theme="1"/>
        <rFont val="Calibri"/>
        <charset val="134"/>
        <scheme val="minor"/>
      </rPr>
      <t xml:space="preserve">PRESTAÇÃO DE SERVIÇOS DE APOIO NAPNE - Posto de serviços: </t>
    </r>
    <r>
      <rPr>
        <b/>
        <i/>
        <sz val="11"/>
        <color theme="1"/>
        <rFont val="Calibri"/>
        <charset val="134"/>
        <scheme val="minor"/>
      </rPr>
      <t>ALFABETIZADOR DE JOVENS E ADULTOS - CBO: 2312-05</t>
    </r>
    <r>
      <rPr>
        <sz val="11"/>
        <color theme="1"/>
        <rFont val="Calibri"/>
        <charset val="134"/>
        <scheme val="minor"/>
      </rPr>
      <t>, em jornada semanal de 44 (quarenta e quatro) horas;</t>
    </r>
  </si>
  <si>
    <r>
      <rPr>
        <sz val="11"/>
        <color theme="1"/>
        <rFont val="Calibri"/>
        <charset val="134"/>
        <scheme val="minor"/>
      </rPr>
      <t xml:space="preserve">PRESTAÇÃO DE SERVIÇOS DE APOIO NAPNE - Posto de serviços: </t>
    </r>
    <r>
      <rPr>
        <b/>
        <i/>
        <sz val="11"/>
        <color theme="1"/>
        <rFont val="Calibri"/>
        <charset val="134"/>
        <scheme val="minor"/>
      </rPr>
      <t>PSICOPEDAGOGO EDUCACIONAL / INSTITUCIONAL - CBO: 2394-25</t>
    </r>
    <r>
      <rPr>
        <sz val="11"/>
        <color theme="1"/>
        <rFont val="Calibri"/>
        <charset val="134"/>
        <scheme val="minor"/>
      </rPr>
      <t>, em jornada semanal de 44 (quarenta e quatro) horas;</t>
    </r>
  </si>
</sst>
</file>

<file path=xl/styles.xml><?xml version="1.0" encoding="utf-8"?>
<styleSheet xmlns="http://schemas.openxmlformats.org/spreadsheetml/2006/main">
  <numFmts count="11">
    <numFmt numFmtId="176" formatCode="_-* #,##0_-;\-* #,##0_-;_-* &quot;-&quot;_-;_-@_-"/>
    <numFmt numFmtId="177" formatCode="_-&quot;R$&quot;* #,##0_-;\-&quot;R$&quot;* #,##0_-;_-&quot;R$&quot;* &quot;-&quot;_-;_-@_-"/>
    <numFmt numFmtId="178" formatCode="&quot;R$ &quot;#,##0.00"/>
    <numFmt numFmtId="179" formatCode="_-&quot;R$ &quot;* #,##0.00_-;&quot;-R$ &quot;* #,##0.00_-;_-&quot;R$ &quot;* \-??_-;_-@_-"/>
    <numFmt numFmtId="180" formatCode="_-* #,##0.00_-;\-* #,##0.00_-;_-* &quot;-&quot;??_-;_-@_-"/>
    <numFmt numFmtId="181" formatCode="&quot;R$&quot;\ #,##0.00_);[Red]\(&quot;R$&quot;\ #,##0.00\)"/>
    <numFmt numFmtId="182" formatCode="&quot;R$&quot;#,##0.00_);[Red]\(&quot;R$&quot;#,##0.00\)"/>
    <numFmt numFmtId="183" formatCode="&quot;R$&quot;#,##0.00_);[Red]&quot;(R$&quot;#,##0.00\)"/>
    <numFmt numFmtId="184" formatCode="0.00_ "/>
    <numFmt numFmtId="185" formatCode="0.0000_ "/>
    <numFmt numFmtId="186" formatCode="&quot;R$&quot;#,##0.00"/>
  </numFmts>
  <fonts count="42">
    <font>
      <sz val="11"/>
      <color rgb="FF000000"/>
      <name val="Calibri"/>
      <charset val="134"/>
    </font>
    <font>
      <b/>
      <sz val="11"/>
      <color theme="1"/>
      <name val="Calibri"/>
      <charset val="134"/>
      <scheme val="minor"/>
    </font>
    <font>
      <sz val="11"/>
      <color theme="1"/>
      <name val="Calibri"/>
      <charset val="134"/>
      <scheme val="minor"/>
    </font>
    <font>
      <b/>
      <sz val="11"/>
      <color theme="0"/>
      <name val="Calibri"/>
      <charset val="134"/>
    </font>
    <font>
      <b/>
      <sz val="11"/>
      <name val="Calibri"/>
      <charset val="134"/>
    </font>
    <font>
      <b/>
      <sz val="11"/>
      <color rgb="FF000000"/>
      <name val="Calibri"/>
      <charset val="134"/>
    </font>
    <font>
      <sz val="11"/>
      <name val="Calibri"/>
      <charset val="134"/>
    </font>
    <font>
      <i/>
      <sz val="11"/>
      <name val="Calibri"/>
      <charset val="134"/>
    </font>
    <font>
      <i/>
      <sz val="11"/>
      <name val="Carlito"/>
      <charset val="134"/>
    </font>
    <font>
      <b/>
      <i/>
      <sz val="11"/>
      <color rgb="FF000000"/>
      <name val="Calibri"/>
      <charset val="134"/>
    </font>
    <font>
      <sz val="11"/>
      <color rgb="FFFF0000"/>
      <name val="Calibri"/>
      <charset val="134"/>
    </font>
    <font>
      <b/>
      <sz val="14"/>
      <color rgb="FFFFFFFF"/>
      <name val="Calibri"/>
      <charset val="134"/>
    </font>
    <font>
      <b/>
      <sz val="11"/>
      <color rgb="FFFFFFFF"/>
      <name val="Calibri"/>
      <charset val="134"/>
    </font>
    <font>
      <sz val="11"/>
      <color theme="0"/>
      <name val="Calibri"/>
      <charset val="134"/>
    </font>
    <font>
      <sz val="11"/>
      <color rgb="FFF4B183"/>
      <name val="Calibri"/>
      <charset val="134"/>
    </font>
    <font>
      <sz val="11"/>
      <color rgb="FFFFFFFF"/>
      <name val="Calibri"/>
      <charset val="134"/>
    </font>
    <font>
      <i/>
      <sz val="11"/>
      <color rgb="FF000000"/>
      <name val="Calibri"/>
      <charset val="134"/>
    </font>
    <font>
      <b/>
      <sz val="11"/>
      <color rgb="FFFFFFFF"/>
      <name val="Calibri"/>
      <charset val="0"/>
      <scheme val="minor"/>
    </font>
    <font>
      <sz val="10"/>
      <name val="Arial"/>
      <charset val="134"/>
    </font>
    <font>
      <b/>
      <sz val="11"/>
      <color theme="3"/>
      <name val="Calibri"/>
      <charset val="134"/>
      <scheme val="minor"/>
    </font>
    <font>
      <sz val="11"/>
      <color theme="1"/>
      <name val="Calibri"/>
      <charset val="0"/>
      <scheme val="minor"/>
    </font>
    <font>
      <b/>
      <sz val="18"/>
      <color theme="3"/>
      <name val="Calibri"/>
      <charset val="134"/>
      <scheme val="minor"/>
    </font>
    <font>
      <b/>
      <sz val="11"/>
      <color theme="1"/>
      <name val="Calibri"/>
      <charset val="0"/>
      <scheme val="minor"/>
    </font>
    <font>
      <sz val="11"/>
      <color rgb="FFFA7D00"/>
      <name val="Calibri"/>
      <charset val="0"/>
      <scheme val="minor"/>
    </font>
    <font>
      <sz val="11"/>
      <color theme="0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u/>
      <sz val="11"/>
      <color rgb="FF0000FF"/>
      <name val="Calibri"/>
      <charset val="0"/>
      <scheme val="minor"/>
    </font>
    <font>
      <b/>
      <sz val="15"/>
      <color theme="3"/>
      <name val="Calibri"/>
      <charset val="134"/>
      <scheme val="minor"/>
    </font>
    <font>
      <sz val="10"/>
      <color theme="1"/>
      <name val="Calibri"/>
      <charset val="134"/>
      <scheme val="minor"/>
    </font>
    <font>
      <sz val="11"/>
      <color rgb="FF9C0006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FF0000"/>
      <name val="Calibri"/>
      <charset val="0"/>
      <scheme val="minor"/>
    </font>
    <font>
      <i/>
      <sz val="11"/>
      <color rgb="FF7F7F7F"/>
      <name val="Calibri"/>
      <charset val="0"/>
      <scheme val="minor"/>
    </font>
    <font>
      <b/>
      <sz val="13"/>
      <color theme="3"/>
      <name val="Calibri"/>
      <charset val="134"/>
      <scheme val="minor"/>
    </font>
    <font>
      <b/>
      <sz val="11"/>
      <color rgb="FFFA7D00"/>
      <name val="Calibri"/>
      <charset val="0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sz val="11"/>
      <color rgb="FF9C6500"/>
      <name val="Calibri"/>
      <charset val="0"/>
      <scheme val="minor"/>
    </font>
    <font>
      <b/>
      <i/>
      <sz val="11"/>
      <color theme="1"/>
      <name val="Calibri"/>
      <charset val="134"/>
      <scheme val="minor"/>
    </font>
    <font>
      <sz val="10"/>
      <color rgb="FF000000"/>
      <name val="Calibri"/>
      <charset val="134"/>
    </font>
    <font>
      <u/>
      <sz val="11"/>
      <color rgb="FFF4B183"/>
      <name val="Calibri"/>
      <charset val="134"/>
    </font>
    <font>
      <sz val="9"/>
      <name val="Tahoma"/>
      <charset val="134"/>
    </font>
  </fonts>
  <fills count="44">
    <fill>
      <patternFill patternType="none"/>
    </fill>
    <fill>
      <patternFill patternType="gray125"/>
    </fill>
    <fill>
      <patternFill patternType="solid">
        <fgColor theme="9"/>
        <bgColor theme="9"/>
      </patternFill>
    </fill>
    <fill>
      <patternFill patternType="solid">
        <fgColor theme="9"/>
        <bgColor indexed="64"/>
      </patternFill>
    </fill>
    <fill>
      <patternFill patternType="solid">
        <fgColor theme="9" tint="0.6"/>
        <bgColor indexed="64"/>
      </patternFill>
    </fill>
    <fill>
      <patternFill patternType="solid">
        <fgColor theme="9" tint="0.4"/>
        <bgColor indexed="64"/>
      </patternFill>
    </fill>
    <fill>
      <patternFill patternType="solid">
        <fgColor theme="5" tint="0.4"/>
        <bgColor indexed="64"/>
      </patternFill>
    </fill>
    <fill>
      <patternFill patternType="solid">
        <fgColor theme="0" tint="-0.5"/>
        <bgColor indexed="64"/>
      </patternFill>
    </fill>
    <fill>
      <patternFill patternType="solid">
        <fgColor rgb="FF70AD47"/>
        <bgColor rgb="FF339966"/>
      </patternFill>
    </fill>
    <fill>
      <patternFill patternType="solid">
        <fgColor rgb="FFC5E0B4"/>
        <bgColor rgb="FFA9D18E"/>
      </patternFill>
    </fill>
    <fill>
      <patternFill patternType="solid">
        <fgColor rgb="FFA9D18E"/>
        <bgColor rgb="FFC5E0B4"/>
      </patternFill>
    </fill>
    <fill>
      <patternFill patternType="solid">
        <fgColor rgb="FFF4B183"/>
        <bgColor rgb="FFFF99CC"/>
      </patternFill>
    </fill>
    <fill>
      <patternFill patternType="solid">
        <fgColor rgb="FFE2F0D9"/>
        <bgColor rgb="FFF2F2F2"/>
      </patternFill>
    </fill>
    <fill>
      <patternFill patternType="solid">
        <fgColor rgb="FFF2F2F2"/>
        <bgColor rgb="FFE2F0D9"/>
      </patternFill>
    </fill>
    <fill>
      <patternFill patternType="solid">
        <fgColor rgb="FFA5A5A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399975585192419"/>
        <bgColor indexed="64"/>
      </patternFill>
    </fill>
  </fills>
  <borders count="25">
    <border>
      <left/>
      <right/>
      <top/>
      <bottom/>
      <diagonal/>
    </border>
    <border>
      <left style="thin">
        <color theme="0"/>
      </left>
      <right/>
      <top/>
      <bottom style="thick">
        <color theme="0"/>
      </bottom>
      <diagonal/>
    </border>
    <border>
      <left/>
      <right/>
      <top/>
      <bottom style="thick">
        <color theme="0"/>
      </bottom>
      <diagonal/>
    </border>
    <border>
      <left/>
      <right style="thin">
        <color theme="0"/>
      </right>
      <top/>
      <bottom style="thick">
        <color theme="0"/>
      </bottom>
      <diagonal/>
    </border>
    <border>
      <left style="thin">
        <color rgb="FFFFFFFF"/>
      </left>
      <right style="thin">
        <color rgb="FFFFFFFF"/>
      </right>
      <top/>
      <bottom style="thick">
        <color rgb="FFFFFFFF"/>
      </bottom>
      <diagonal/>
    </border>
    <border>
      <left/>
      <right/>
      <top style="thick">
        <color rgb="FFFFFFFF"/>
      </top>
      <bottom style="thin">
        <color rgb="FFFFFFFF"/>
      </bottom>
      <diagonal/>
    </border>
    <border>
      <left/>
      <right/>
      <top/>
      <bottom style="thin">
        <color rgb="FFFFFFFF"/>
      </bottom>
      <diagonal/>
    </border>
    <border>
      <left/>
      <right style="thin">
        <color rgb="FFFFFFFF"/>
      </right>
      <top style="thick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ck">
        <color rgb="FFFFFFFF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/>
      <right style="thin">
        <color rgb="FFFFFFFF"/>
      </right>
      <top/>
      <bottom style="thick">
        <color rgb="FFFFFFFF"/>
      </bottom>
      <diagonal/>
    </border>
    <border>
      <left style="thin">
        <color rgb="FFFFFFFF"/>
      </left>
      <right/>
      <top/>
      <bottom style="thick">
        <color rgb="FFFFFFFF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ck">
        <color rgb="FFFFFFFF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/>
    <xf numFmtId="177" fontId="18" fillId="0" borderId="0" applyBorder="0" applyAlignment="0" applyProtection="0"/>
    <xf numFmtId="176" fontId="18" fillId="0" borderId="0" applyBorder="0" applyAlignment="0" applyProtection="0"/>
    <xf numFmtId="0" fontId="20" fillId="17" borderId="0" applyNumberFormat="0" applyBorder="0" applyAlignment="0" applyProtection="0">
      <alignment vertical="center"/>
    </xf>
    <xf numFmtId="9" fontId="0" fillId="0" borderId="0" applyBorder="0" applyProtection="0"/>
    <xf numFmtId="0" fontId="23" fillId="0" borderId="19" applyNumberFormat="0" applyFill="0" applyAlignment="0" applyProtection="0">
      <alignment vertical="center"/>
    </xf>
    <xf numFmtId="0" fontId="17" fillId="14" borderId="17" applyNumberFormat="0" applyAlignment="0" applyProtection="0">
      <alignment vertical="center"/>
    </xf>
    <xf numFmtId="180" fontId="18" fillId="0" borderId="0" applyBorder="0" applyAlignment="0" applyProtection="0"/>
    <xf numFmtId="0" fontId="20" fillId="21" borderId="0" applyNumberFormat="0" applyBorder="0" applyAlignment="0" applyProtection="0">
      <alignment vertical="center"/>
    </xf>
    <xf numFmtId="179" fontId="0" fillId="0" borderId="0" applyBorder="0" applyProtection="0"/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8" fillId="25" borderId="21" applyNumberFormat="0" applyFont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7" fillId="0" borderId="20" applyNumberFormat="0" applyFill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33" fillId="0" borderId="20" applyNumberFormat="0" applyFill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19" fillId="0" borderId="23" applyNumberFormat="0" applyFill="0" applyAlignment="0" applyProtection="0">
      <alignment vertical="center"/>
    </xf>
    <xf numFmtId="0" fontId="24" fillId="3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35" fillId="35" borderId="22" applyNumberFormat="0" applyAlignment="0" applyProtection="0">
      <alignment vertical="center"/>
    </xf>
    <xf numFmtId="0" fontId="36" fillId="34" borderId="24" applyNumberFormat="0" applyAlignment="0" applyProtection="0">
      <alignment vertical="center"/>
    </xf>
    <xf numFmtId="0" fontId="34" fillId="34" borderId="22" applyNumberFormat="0" applyAlignment="0" applyProtection="0">
      <alignment vertical="center"/>
    </xf>
    <xf numFmtId="0" fontId="22" fillId="0" borderId="18" applyNumberFormat="0" applyFill="0" applyAlignment="0" applyProtection="0">
      <alignment vertical="center"/>
    </xf>
    <xf numFmtId="0" fontId="20" fillId="40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37" fillId="41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  <xf numFmtId="0" fontId="20" fillId="36" borderId="0" applyNumberFormat="0" applyBorder="0" applyAlignment="0" applyProtection="0">
      <alignment vertical="center"/>
    </xf>
    <xf numFmtId="0" fontId="24" fillId="39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0" fillId="3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4" fillId="42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4" fillId="43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37" borderId="0" applyNumberFormat="0" applyBorder="0" applyAlignment="0" applyProtection="0">
      <alignment vertical="center"/>
    </xf>
  </cellStyleXfs>
  <cellXfs count="128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justify" vertical="center" wrapText="1"/>
    </xf>
    <xf numFmtId="178" fontId="2" fillId="0" borderId="0" xfId="0" applyNumberFormat="1" applyFont="1" applyFill="1" applyAlignment="1">
      <alignment horizontal="center" vertical="center" wrapText="1"/>
    </xf>
    <xf numFmtId="181" fontId="2" fillId="0" borderId="0" xfId="0" applyNumberFormat="1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justify" wrapText="1"/>
    </xf>
    <xf numFmtId="0" fontId="2" fillId="0" borderId="0" xfId="0" applyFont="1" applyFill="1" applyAlignment="1"/>
    <xf numFmtId="181" fontId="2" fillId="0" borderId="0" xfId="0" applyNumberFormat="1" applyFont="1" applyFill="1" applyAlignment="1"/>
    <xf numFmtId="0" fontId="2" fillId="0" borderId="0" xfId="0" applyFont="1" applyFill="1" applyAlignment="1">
      <alignment horizontal="left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3" fillId="3" borderId="0" xfId="0" applyFont="1" applyFill="1" applyBorder="1" applyAlignment="1">
      <alignment horizontal="center"/>
    </xf>
    <xf numFmtId="0" fontId="3" fillId="3" borderId="0" xfId="0" applyFont="1" applyFill="1" applyBorder="1" applyAlignment="1">
      <alignment horizontal="center" vertical="center" wrapText="1"/>
    </xf>
    <xf numFmtId="0" fontId="3" fillId="3" borderId="0" xfId="0" applyFont="1" applyFill="1" applyBorder="1" applyAlignment="1">
      <alignment horizontal="center" vertical="center"/>
    </xf>
    <xf numFmtId="0" fontId="4" fillId="4" borderId="0" xfId="0" applyFont="1" applyFill="1" applyAlignment="1">
      <alignment horizontal="center"/>
    </xf>
    <xf numFmtId="0" fontId="4" fillId="4" borderId="0" xfId="0" applyFont="1" applyFill="1" applyAlignment="1">
      <alignment horizontal="center" vertical="center" wrapText="1"/>
    </xf>
    <xf numFmtId="0" fontId="4" fillId="4" borderId="0" xfId="0" applyFont="1" applyFill="1" applyAlignment="1">
      <alignment horizontal="center" vertical="center"/>
    </xf>
    <xf numFmtId="0" fontId="5" fillId="5" borderId="0" xfId="0" applyFont="1" applyFill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8" fillId="0" borderId="0" xfId="0" applyFont="1" applyAlignment="1">
      <alignment horizontal="justify" wrapText="1"/>
    </xf>
    <xf numFmtId="182" fontId="6" fillId="6" borderId="0" xfId="0" applyNumberFormat="1" applyFont="1" applyFill="1" applyAlignment="1">
      <alignment horizontal="center" vertical="center" wrapText="1"/>
    </xf>
    <xf numFmtId="182" fontId="6" fillId="0" borderId="0" xfId="0" applyNumberFormat="1" applyFont="1" applyAlignment="1">
      <alignment horizontal="center" vertical="center" wrapText="1"/>
    </xf>
    <xf numFmtId="0" fontId="9" fillId="7" borderId="0" xfId="0" applyFont="1" applyFill="1" applyAlignment="1">
      <alignment horizontal="center"/>
    </xf>
    <xf numFmtId="182" fontId="9" fillId="7" borderId="0" xfId="0" applyNumberFormat="1" applyFont="1" applyFill="1" applyAlignment="1">
      <alignment horizontal="center"/>
    </xf>
    <xf numFmtId="0" fontId="10" fillId="0" borderId="0" xfId="0" applyFont="1"/>
    <xf numFmtId="0" fontId="10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11" fillId="8" borderId="4" xfId="0" applyFont="1" applyFill="1" applyBorder="1" applyAlignment="1">
      <alignment horizontal="center"/>
    </xf>
    <xf numFmtId="0" fontId="5" fillId="9" borderId="5" xfId="0" applyFont="1" applyFill="1" applyBorder="1" applyAlignment="1">
      <alignment horizontal="left" wrapText="1"/>
    </xf>
    <xf numFmtId="0" fontId="5" fillId="10" borderId="0" xfId="0" applyFont="1" applyFill="1" applyBorder="1" applyAlignment="1">
      <alignment horizontal="left" wrapText="1"/>
    </xf>
    <xf numFmtId="49" fontId="0" fillId="10" borderId="0" xfId="0" applyNumberFormat="1" applyFont="1" applyFill="1" applyBorder="1" applyAlignment="1">
      <alignment horizontal="left"/>
    </xf>
    <xf numFmtId="0" fontId="0" fillId="10" borderId="0" xfId="0" applyFont="1" applyFill="1" applyBorder="1" applyAlignment="1">
      <alignment horizontal="left"/>
    </xf>
    <xf numFmtId="0" fontId="5" fillId="0" borderId="0" xfId="0" applyFont="1" applyBorder="1" applyAlignment="1">
      <alignment horizontal="left" wrapText="1"/>
    </xf>
    <xf numFmtId="0" fontId="0" fillId="0" borderId="0" xfId="0" applyFont="1" applyBorder="1" applyAlignment="1">
      <alignment horizontal="left"/>
    </xf>
    <xf numFmtId="0" fontId="12" fillId="8" borderId="6" xfId="0" applyFont="1" applyFill="1" applyBorder="1" applyAlignment="1">
      <alignment horizontal="center"/>
    </xf>
    <xf numFmtId="0" fontId="0" fillId="9" borderId="7" xfId="0" applyFont="1" applyFill="1" applyBorder="1" applyAlignment="1">
      <alignment horizontal="center"/>
    </xf>
    <xf numFmtId="0" fontId="0" fillId="9" borderId="8" xfId="0" applyFont="1" applyFill="1" applyBorder="1"/>
    <xf numFmtId="0" fontId="0" fillId="11" borderId="8" xfId="0" applyFont="1" applyFill="1" applyBorder="1" applyAlignment="1">
      <alignment horizontal="center"/>
    </xf>
    <xf numFmtId="0" fontId="0" fillId="12" borderId="9" xfId="0" applyFont="1" applyFill="1" applyBorder="1" applyAlignment="1">
      <alignment horizontal="center"/>
    </xf>
    <xf numFmtId="0" fontId="0" fillId="12" borderId="10" xfId="0" applyFont="1" applyFill="1" applyBorder="1"/>
    <xf numFmtId="0" fontId="0" fillId="11" borderId="10" xfId="0" applyFont="1" applyFill="1" applyBorder="1" applyAlignment="1">
      <alignment horizontal="center"/>
    </xf>
    <xf numFmtId="0" fontId="0" fillId="9" borderId="9" xfId="0" applyFont="1" applyFill="1" applyBorder="1" applyAlignment="1">
      <alignment horizontal="center"/>
    </xf>
    <xf numFmtId="0" fontId="0" fillId="9" borderId="10" xfId="0" applyFont="1" applyFill="1" applyBorder="1"/>
    <xf numFmtId="0" fontId="12" fillId="8" borderId="4" xfId="0" applyFont="1" applyFill="1" applyBorder="1" applyAlignment="1">
      <alignment horizontal="center"/>
    </xf>
    <xf numFmtId="0" fontId="12" fillId="8" borderId="11" xfId="0" applyFont="1" applyFill="1" applyBorder="1" applyAlignment="1">
      <alignment horizontal="center" wrapText="1"/>
    </xf>
    <xf numFmtId="0" fontId="12" fillId="8" borderId="12" xfId="0" applyFont="1" applyFill="1" applyBorder="1" applyAlignment="1">
      <alignment horizontal="center"/>
    </xf>
    <xf numFmtId="0" fontId="0" fillId="9" borderId="10" xfId="0" applyFont="1" applyFill="1" applyBorder="1" applyAlignment="1">
      <alignment horizontal="center"/>
    </xf>
    <xf numFmtId="0" fontId="0" fillId="11" borderId="13" xfId="0" applyFont="1" applyFill="1" applyBorder="1" applyAlignment="1">
      <alignment horizontal="center"/>
    </xf>
    <xf numFmtId="0" fontId="0" fillId="12" borderId="10" xfId="0" applyFont="1" applyFill="1" applyBorder="1" applyAlignment="1">
      <alignment horizontal="center"/>
    </xf>
    <xf numFmtId="178" fontId="0" fillId="11" borderId="13" xfId="0" applyNumberFormat="1" applyFont="1" applyFill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0" fillId="0" borderId="0" xfId="0" applyFont="1" applyAlignment="1">
      <alignment horizontal="center"/>
    </xf>
    <xf numFmtId="0" fontId="0" fillId="11" borderId="0" xfId="0" applyFill="1" applyAlignment="1">
      <alignment horizontal="center"/>
    </xf>
    <xf numFmtId="178" fontId="0" fillId="11" borderId="0" xfId="0" applyNumberFormat="1" applyFill="1" applyAlignment="1">
      <alignment horizontal="center"/>
    </xf>
    <xf numFmtId="0" fontId="0" fillId="11" borderId="0" xfId="0" applyFont="1" applyFill="1" applyAlignment="1">
      <alignment horizontal="center"/>
    </xf>
    <xf numFmtId="49" fontId="0" fillId="11" borderId="0" xfId="0" applyNumberFormat="1" applyFont="1" applyFill="1" applyAlignment="1">
      <alignment horizontal="center"/>
    </xf>
    <xf numFmtId="0" fontId="0" fillId="0" borderId="0" xfId="0" applyFont="1"/>
    <xf numFmtId="10" fontId="0" fillId="0" borderId="0" xfId="0" applyNumberFormat="1"/>
    <xf numFmtId="0" fontId="0" fillId="11" borderId="0" xfId="0" applyFont="1" applyFill="1" applyAlignment="1">
      <alignment horizontal="center" wrapText="1"/>
    </xf>
    <xf numFmtId="178" fontId="0" fillId="0" borderId="0" xfId="0" applyNumberFormat="1" applyAlignment="1">
      <alignment horizontal="center"/>
    </xf>
    <xf numFmtId="0" fontId="12" fillId="8" borderId="0" xfId="0" applyFont="1" applyFill="1" applyBorder="1" applyAlignment="1">
      <alignment horizontal="center"/>
    </xf>
    <xf numFmtId="10" fontId="0" fillId="0" borderId="0" xfId="4" applyNumberFormat="1" applyFont="1" applyBorder="1" applyAlignment="1" applyProtection="1">
      <alignment horizontal="center"/>
    </xf>
    <xf numFmtId="0" fontId="0" fillId="0" borderId="0" xfId="0" applyAlignment="1"/>
    <xf numFmtId="0" fontId="12" fillId="8" borderId="0" xfId="0" applyFont="1" applyFill="1" applyBorder="1" applyAlignment="1">
      <alignment horizontal="center" vertical="center"/>
    </xf>
    <xf numFmtId="0" fontId="5" fillId="9" borderId="8" xfId="0" applyFont="1" applyFill="1" applyBorder="1" applyAlignment="1">
      <alignment horizontal="center" vertical="center"/>
    </xf>
    <xf numFmtId="183" fontId="0" fillId="11" borderId="14" xfId="0" applyNumberFormat="1" applyFont="1" applyFill="1" applyBorder="1" applyAlignment="1">
      <alignment horizontal="center" vertical="center"/>
    </xf>
    <xf numFmtId="0" fontId="5" fillId="12" borderId="14" xfId="0" applyFont="1" applyFill="1" applyBorder="1" applyAlignment="1">
      <alignment horizontal="center" vertical="center"/>
    </xf>
    <xf numFmtId="183" fontId="5" fillId="11" borderId="14" xfId="0" applyNumberFormat="1" applyFont="1" applyFill="1" applyBorder="1" applyAlignment="1">
      <alignment horizontal="center" vertical="center"/>
    </xf>
    <xf numFmtId="10" fontId="0" fillId="0" borderId="0" xfId="0" applyNumberFormat="1" applyAlignment="1">
      <alignment horizontal="center"/>
    </xf>
    <xf numFmtId="10" fontId="0" fillId="11" borderId="0" xfId="4" applyNumberFormat="1" applyFont="1" applyFill="1" applyBorder="1" applyAlignment="1" applyProtection="1">
      <alignment horizontal="center"/>
    </xf>
    <xf numFmtId="178" fontId="0" fillId="11" borderId="0" xfId="0" applyNumberFormat="1" applyFont="1" applyFill="1" applyAlignment="1">
      <alignment horizontal="center"/>
    </xf>
    <xf numFmtId="0" fontId="0" fillId="0" borderId="0" xfId="0" applyFont="1" applyAlignment="1">
      <alignment horizontal="center" vertical="center"/>
    </xf>
    <xf numFmtId="0" fontId="0" fillId="0" borderId="0" xfId="0" applyFont="1" applyAlignment="1">
      <alignment vertical="center"/>
    </xf>
    <xf numFmtId="178" fontId="0" fillId="11" borderId="0" xfId="0" applyNumberFormat="1" applyFill="1" applyAlignment="1">
      <alignment horizontal="center" vertical="center"/>
    </xf>
    <xf numFmtId="178" fontId="0" fillId="0" borderId="0" xfId="0" applyNumberFormat="1" applyFont="1" applyAlignment="1">
      <alignment horizontal="left" vertical="center"/>
    </xf>
    <xf numFmtId="10" fontId="0" fillId="0" borderId="0" xfId="4" applyNumberFormat="1" applyFont="1" applyBorder="1" applyAlignment="1" applyProtection="1">
      <alignment horizontal="center" vertical="center"/>
    </xf>
    <xf numFmtId="0" fontId="0" fillId="0" borderId="0" xfId="0" applyFont="1" applyAlignment="1">
      <alignment wrapText="1"/>
    </xf>
    <xf numFmtId="10" fontId="0" fillId="11" borderId="0" xfId="4" applyNumberFormat="1" applyFont="1" applyFill="1" applyBorder="1" applyAlignment="1" applyProtection="1">
      <alignment horizontal="center" vertical="center"/>
    </xf>
    <xf numFmtId="10" fontId="0" fillId="6" borderId="0" xfId="4" applyNumberFormat="1" applyFont="1" applyFill="1" applyBorder="1" applyAlignment="1" applyProtection="1">
      <alignment horizontal="center" vertical="center"/>
    </xf>
    <xf numFmtId="178" fontId="0" fillId="6" borderId="0" xfId="0" applyNumberFormat="1" applyFill="1" applyAlignment="1">
      <alignment horizontal="center"/>
    </xf>
    <xf numFmtId="178" fontId="0" fillId="6" borderId="0" xfId="0" applyNumberFormat="1" applyFill="1" applyAlignment="1">
      <alignment horizontal="center" vertical="center"/>
    </xf>
    <xf numFmtId="0" fontId="12" fillId="8" borderId="0" xfId="0" applyFont="1" applyFill="1" applyBorder="1" applyAlignment="1">
      <alignment horizontal="center" wrapText="1"/>
    </xf>
    <xf numFmtId="184" fontId="0" fillId="11" borderId="0" xfId="0" applyNumberFormat="1" applyFill="1" applyAlignment="1">
      <alignment horizontal="center"/>
    </xf>
    <xf numFmtId="0" fontId="0" fillId="0" borderId="0" xfId="0" applyAlignment="1">
      <alignment vertical="center" wrapText="1"/>
    </xf>
    <xf numFmtId="0" fontId="13" fillId="0" borderId="0" xfId="0" applyFont="1" applyAlignment="1">
      <alignment horizontal="center" vertical="center" wrapText="1"/>
    </xf>
    <xf numFmtId="178" fontId="13" fillId="0" borderId="0" xfId="0" applyNumberFormat="1" applyFont="1" applyAlignment="1">
      <alignment vertical="center"/>
    </xf>
    <xf numFmtId="0" fontId="13" fillId="0" borderId="0" xfId="0" applyFont="1" applyAlignment="1">
      <alignment horizontal="center"/>
    </xf>
    <xf numFmtId="178" fontId="13" fillId="0" borderId="0" xfId="0" applyNumberFormat="1" applyFont="1" applyAlignment="1">
      <alignment horizontal="center"/>
    </xf>
    <xf numFmtId="178" fontId="14" fillId="11" borderId="0" xfId="0" applyNumberFormat="1" applyFont="1" applyFill="1" applyAlignment="1">
      <alignment horizontal="center"/>
    </xf>
    <xf numFmtId="178" fontId="0" fillId="0" borderId="0" xfId="0" applyNumberFormat="1" applyAlignment="1">
      <alignment horizontal="center" vertical="center"/>
    </xf>
    <xf numFmtId="178" fontId="6" fillId="11" borderId="0" xfId="0" applyNumberFormat="1" applyFont="1" applyFill="1" applyAlignment="1">
      <alignment horizontal="center"/>
    </xf>
    <xf numFmtId="0" fontId="12" fillId="8" borderId="12" xfId="0" applyFont="1" applyFill="1" applyBorder="1" applyAlignment="1">
      <alignment horizontal="center" vertical="center"/>
    </xf>
    <xf numFmtId="10" fontId="6" fillId="11" borderId="0" xfId="4" applyNumberFormat="1" applyFont="1" applyFill="1" applyBorder="1" applyAlignment="1" applyProtection="1">
      <alignment horizontal="center"/>
    </xf>
    <xf numFmtId="0" fontId="0" fillId="9" borderId="8" xfId="0" applyFont="1" applyFill="1" applyBorder="1" applyAlignment="1">
      <alignment horizontal="left" vertical="center"/>
    </xf>
    <xf numFmtId="0" fontId="0" fillId="12" borderId="14" xfId="0" applyFont="1" applyFill="1" applyBorder="1" applyAlignment="1">
      <alignment horizontal="left" vertical="center"/>
    </xf>
    <xf numFmtId="183" fontId="0" fillId="11" borderId="0" xfId="0" applyNumberFormat="1" applyFill="1"/>
    <xf numFmtId="185" fontId="0" fillId="11" borderId="0" xfId="0" applyNumberFormat="1" applyFill="1" applyAlignment="1">
      <alignment horizontal="center" vertical="center"/>
    </xf>
    <xf numFmtId="0" fontId="6" fillId="0" borderId="0" xfId="0" applyFont="1"/>
    <xf numFmtId="0" fontId="0" fillId="0" borderId="0" xfId="0" applyAlignment="1">
      <alignment horizontal="center"/>
    </xf>
    <xf numFmtId="0" fontId="0" fillId="0" borderId="0" xfId="0" applyFont="1" applyAlignment="1">
      <alignment horizontal="right"/>
    </xf>
    <xf numFmtId="0" fontId="15" fillId="8" borderId="0" xfId="0" applyFont="1" applyFill="1"/>
    <xf numFmtId="0" fontId="12" fillId="8" borderId="0" xfId="0" applyFont="1" applyFill="1" applyAlignment="1">
      <alignment horizontal="center" vertical="center"/>
    </xf>
    <xf numFmtId="178" fontId="12" fillId="8" borderId="0" xfId="0" applyNumberFormat="1" applyFont="1" applyFill="1" applyAlignment="1">
      <alignment horizontal="center"/>
    </xf>
    <xf numFmtId="0" fontId="5" fillId="0" borderId="15" xfId="0" applyFont="1" applyBorder="1" applyAlignment="1">
      <alignment horizontal="center"/>
    </xf>
    <xf numFmtId="179" fontId="0" fillId="11" borderId="0" xfId="9" applyFont="1" applyFill="1" applyBorder="1" applyAlignment="1" applyProtection="1">
      <alignment horizontal="center"/>
    </xf>
    <xf numFmtId="186" fontId="0" fillId="11" borderId="0" xfId="0" applyNumberFormat="1" applyFill="1" applyAlignment="1">
      <alignment horizontal="center"/>
    </xf>
    <xf numFmtId="9" fontId="0" fillId="11" borderId="0" xfId="0" applyNumberFormat="1" applyFill="1" applyAlignment="1">
      <alignment horizontal="center"/>
    </xf>
    <xf numFmtId="0" fontId="0" fillId="0" borderId="0" xfId="0" applyFont="1" applyAlignment="1"/>
    <xf numFmtId="10" fontId="0" fillId="11" borderId="0" xfId="4" applyNumberFormat="1" applyFont="1" applyFill="1" applyBorder="1" applyAlignment="1" applyProtection="1"/>
    <xf numFmtId="10" fontId="0" fillId="0" borderId="0" xfId="4" applyNumberFormat="1" applyFont="1" applyBorder="1" applyAlignment="1" applyProtection="1"/>
    <xf numFmtId="0" fontId="5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0" fontId="0" fillId="0" borderId="0" xfId="0" applyFont="1" applyAlignment="1">
      <alignment horizontal="center" vertical="center" wrapText="1"/>
    </xf>
    <xf numFmtId="0" fontId="0" fillId="0" borderId="0" xfId="0" applyFont="1" applyAlignment="1">
      <alignment horizontal="left" vertical="center"/>
    </xf>
    <xf numFmtId="178" fontId="0" fillId="0" borderId="0" xfId="0" applyNumberFormat="1" applyFont="1" applyAlignment="1">
      <alignment horizontal="center" vertical="center" wrapText="1"/>
    </xf>
    <xf numFmtId="178" fontId="15" fillId="8" borderId="0" xfId="0" applyNumberFormat="1" applyFont="1" applyFill="1" applyAlignment="1">
      <alignment horizontal="center"/>
    </xf>
    <xf numFmtId="0" fontId="5" fillId="13" borderId="16" xfId="0" applyFont="1" applyFill="1" applyBorder="1" applyAlignment="1">
      <alignment horizontal="center"/>
    </xf>
    <xf numFmtId="0" fontId="0" fillId="13" borderId="0" xfId="0" applyFont="1" applyFill="1" applyBorder="1" applyAlignment="1">
      <alignment horizontal="left" vertical="center" wrapText="1"/>
    </xf>
    <xf numFmtId="0" fontId="0" fillId="13" borderId="0" xfId="0" applyFont="1" applyFill="1" applyBorder="1" applyAlignment="1">
      <alignment horizontal="left" wrapText="1"/>
    </xf>
    <xf numFmtId="0" fontId="5" fillId="13" borderId="0" xfId="0" applyFont="1" applyFill="1" applyBorder="1" applyAlignment="1">
      <alignment horizontal="left" vertical="center" wrapText="1"/>
    </xf>
    <xf numFmtId="0" fontId="16" fillId="13" borderId="0" xfId="0" applyFont="1" applyFill="1" applyBorder="1" applyAlignment="1">
      <alignment horizontal="center"/>
    </xf>
    <xf numFmtId="0" fontId="0" fillId="13" borderId="0" xfId="0" applyFont="1" applyFill="1" applyBorder="1" applyAlignment="1">
      <alignment horizontal="center"/>
    </xf>
  </cellXfs>
  <cellStyles count="49">
    <cellStyle name="Normal" xfId="0" builtinId="0"/>
    <cellStyle name="Comma" xfId="1" builtinId="3"/>
    <cellStyle name="Comma [0]" xfId="2" builtinId="6"/>
    <cellStyle name="40% - Ênfase 4" xfId="3" builtinId="43"/>
    <cellStyle name="Porcentagem" xfId="4" builtinId="5"/>
    <cellStyle name="Célula Vinculada" xfId="5" builtinId="24"/>
    <cellStyle name="Célula de Verificação" xfId="6" builtinId="23"/>
    <cellStyle name="Moeda [0]" xfId="7" builtinId="7"/>
    <cellStyle name="20% - Ênfase 3" xfId="8" builtinId="38"/>
    <cellStyle name="Moeda" xfId="9" builtinId="4"/>
    <cellStyle name="Hyperlink seguido" xfId="10" builtinId="9"/>
    <cellStyle name="Hyperlink" xfId="11" builtinId="8"/>
    <cellStyle name="40% - Ênfase 2" xfId="12" builtinId="35"/>
    <cellStyle name="Observação" xfId="13" builtinId="10"/>
    <cellStyle name="40% - Ênfase 6" xfId="14" builtinId="51"/>
    <cellStyle name="Texto de Aviso" xfId="15" builtinId="11"/>
    <cellStyle name="Título" xfId="16" builtinId="15"/>
    <cellStyle name="Texto Explicativo" xfId="17" builtinId="53"/>
    <cellStyle name="Ênfase 3" xfId="18" builtinId="37"/>
    <cellStyle name="Título 1" xfId="19" builtinId="16"/>
    <cellStyle name="Ênfase 4" xfId="20" builtinId="41"/>
    <cellStyle name="Título 2" xfId="21" builtinId="17"/>
    <cellStyle name="Ênfase 5" xfId="22" builtinId="45"/>
    <cellStyle name="Título 3" xfId="23" builtinId="18"/>
    <cellStyle name="Ênfase 6" xfId="24" builtinId="49"/>
    <cellStyle name="Título 4" xfId="25" builtinId="19"/>
    <cellStyle name="Entrada" xfId="26" builtinId="20"/>
    <cellStyle name="Saída" xfId="27" builtinId="21"/>
    <cellStyle name="Cálculo" xfId="28" builtinId="22"/>
    <cellStyle name="Total" xfId="29" builtinId="25"/>
    <cellStyle name="40% - Ênfase 1" xfId="30" builtinId="31"/>
    <cellStyle name="Bom" xfId="31" builtinId="26"/>
    <cellStyle name="Ruim" xfId="32" builtinId="27"/>
    <cellStyle name="Neutro" xfId="33" builtinId="28"/>
    <cellStyle name="20% - Ênfase 5" xfId="34" builtinId="46"/>
    <cellStyle name="Ênfase 1" xfId="35" builtinId="29"/>
    <cellStyle name="20% - Ênfase 1" xfId="36" builtinId="30"/>
    <cellStyle name="60% - Ênfase 1" xfId="37" builtinId="32"/>
    <cellStyle name="20% - Ênfase 6" xfId="38" builtinId="50"/>
    <cellStyle name="Ênfase 2" xfId="39" builtinId="33"/>
    <cellStyle name="20% - Ênfase 2" xfId="40" builtinId="34"/>
    <cellStyle name="60% - Ênfase 2" xfId="41" builtinId="36"/>
    <cellStyle name="40% - Ênfase 3" xfId="42" builtinId="39"/>
    <cellStyle name="60% - Ênfase 3" xfId="43" builtinId="40"/>
    <cellStyle name="20% - Ênfase 4" xfId="44" builtinId="42"/>
    <cellStyle name="60% - Ênfase 4" xfId="45" builtinId="44"/>
    <cellStyle name="40% - Ênfase 5" xfId="46" builtinId="47"/>
    <cellStyle name="60% - Ênfase 5" xfId="47" builtinId="48"/>
    <cellStyle name="60% - Ênfase 6" xfId="48" builtinId="52"/>
  </cellStyles>
  <dxfs count="409"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font>
        <color theme="0"/>
      </font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font>
        <name val="Calibri"/>
        <scheme val="none"/>
        <charset val="134"/>
        <family val="0"/>
        <b val="0"/>
        <i val="0"/>
        <strike val="0"/>
        <u val="none"/>
        <sz val="11"/>
        <color rgb="FFFF0000"/>
      </font>
    </dxf>
    <dxf>
      <font>
        <name val="Calibri"/>
        <scheme val="none"/>
        <charset val="134"/>
        <family val="0"/>
        <b val="0"/>
        <i val="0"/>
        <strike val="0"/>
        <u val="none"/>
        <sz val="11"/>
        <color rgb="FFFF0000"/>
      </font>
      <alignment horizontal="center" vertical="center" wrapText="1"/>
    </dxf>
    <dxf>
      <font>
        <name val="Calibri"/>
        <scheme val="none"/>
        <charset val="134"/>
        <family val="0"/>
        <b val="0"/>
        <i val="0"/>
        <strike val="0"/>
        <u val="none"/>
        <sz val="11"/>
        <color rgb="FFFF0000"/>
      </font>
    </dxf>
    <dxf>
      <font>
        <name val="Calibri"/>
        <scheme val="none"/>
        <charset val="134"/>
        <family val="0"/>
        <b val="0"/>
        <i val="0"/>
        <strike val="0"/>
        <u val="none"/>
        <sz val="11"/>
        <color rgb="FFFF0000"/>
      </font>
      <alignment horizontal="center" vertical="center"/>
    </dxf>
    <dxf>
      <font>
        <name val="Calibri"/>
        <scheme val="none"/>
        <charset val="134"/>
        <family val="0"/>
        <b val="0"/>
        <i val="0"/>
        <strike val="0"/>
        <u val="none"/>
        <sz val="11"/>
        <color rgb="FFFF0000"/>
      </font>
    </dxf>
    <dxf>
      <font>
        <name val="Calibri"/>
        <scheme val="none"/>
        <charset val="134"/>
        <family val="0"/>
        <b val="0"/>
        <i val="0"/>
        <strike val="0"/>
        <u val="none"/>
        <sz val="11"/>
        <color rgb="FFFF0000"/>
      </font>
    </dxf>
    <dxf>
      <font>
        <name val="Calibri"/>
        <scheme val="none"/>
        <charset val="134"/>
        <family val="0"/>
        <b val="0"/>
        <i val="0"/>
        <strike val="0"/>
        <u val="none"/>
        <sz val="11"/>
        <color rgb="FFFF0000"/>
      </font>
    </dxf>
    <dxf>
      <font>
        <name val="Calibri"/>
        <scheme val="none"/>
        <charset val="134"/>
        <family val="0"/>
        <b val="0"/>
        <i val="0"/>
        <strike val="0"/>
        <u val="none"/>
        <sz val="11"/>
        <color rgb="FFFF0000"/>
      </font>
    </dxf>
    <dxf>
      <alignment horizontal="center" vertical="center" wrapText="1"/>
    </dxf>
    <dxf>
      <alignment wrapText="1"/>
    </dxf>
    <dxf>
      <alignment horizontal="center" vertical="center"/>
    </dxf>
    <dxf>
      <alignment wrapText="1"/>
    </dxf>
    <dxf>
      <alignment wrapText="1"/>
    </dxf>
    <dxf>
      <numFmt numFmtId="181" formatCode="&quot;R$&quot;\ #,##0.00_);[Red]\(&quot;R$&quot;\ #,##0.00\)"/>
      <alignment horizontal="center" vertical="center"/>
    </dxf>
    <dxf>
      <alignment wrapText="1"/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A9D18E"/>
      <rgbColor rgb="00808080"/>
      <rgbColor rgb="009999FF"/>
      <rgbColor rgb="00993366"/>
      <rgbColor rgb="00F2F2F2"/>
      <rgbColor rgb="00CCFFFF"/>
      <rgbColor rgb="00660066"/>
      <rgbColor rgb="00FF8080"/>
      <rgbColor rgb="000066CC"/>
      <rgbColor rgb="00C5E0B4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E2F0D9"/>
      <rgbColor rgb="00FFFF99"/>
      <rgbColor rgb="0099CCFF"/>
      <rgbColor rgb="00FF99CC"/>
      <rgbColor rgb="00CC99FF"/>
      <rgbColor rgb="00F4B183"/>
      <rgbColor rgb="003366FF"/>
      <rgbColor rgb="0033CCCC"/>
      <rgbColor rgb="0099CC00"/>
      <rgbColor rgb="00FFCC00"/>
      <rgbColor rgb="00FF9900"/>
      <rgbColor rgb="00FF6600"/>
      <rgbColor rgb="00666699"/>
      <rgbColor rgb="0070AD47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3" Type="http://schemas.openxmlformats.org/officeDocument/2006/relationships/sharedStrings" Target="sharedStrings.xml"/><Relationship Id="rId12" Type="http://schemas.openxmlformats.org/officeDocument/2006/relationships/styles" Target="styles.xml"/><Relationship Id="rId11" Type="http://schemas.openxmlformats.org/officeDocument/2006/relationships/theme" Target="theme/theme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ables/table1.xml><?xml version="1.0" encoding="utf-8"?>
<table xmlns="http://schemas.openxmlformats.org/spreadsheetml/2006/main" id="1" name="CITL" displayName="CITL" ref="F15:G20" totalsRowShown="0">
  <autoFilter ref="F15:G20"/>
  <tableColumns count="2">
    <tableColumn id="1" name="Descrição" dataDxfId="0"/>
    <tableColumn id="2" name="Percentual" dataDxfId="1"/>
  </tableColumns>
  <tableStyleInfo showFirstColumn="0" showLastColumn="0" showRowStripes="1" showColumnStripes="0"/>
</table>
</file>

<file path=xl/tables/table10.xml><?xml version="1.0" encoding="utf-8"?>
<table xmlns="http://schemas.openxmlformats.org/spreadsheetml/2006/main" id="16" name="ResumoPosto" displayName="ResumoPosto" ref="A140:D148" totalsRowShown="0">
  <autoFilter ref="A140:D148"/>
  <tableColumns count="4">
    <tableColumn id="1" name="Item" dataDxfId="30"/>
    <tableColumn id="2" name="Mão de obra vinculada à execução contratual" dataDxfId="31"/>
    <tableColumn id="3" name="-" dataDxfId="32"/>
    <tableColumn id="4" name="Valor" dataDxfId="33"/>
  </tableColumns>
  <tableStyleInfo showFirstColumn="0" showLastColumn="0" showRowStripes="1" showColumnStripes="0"/>
</table>
</file>

<file path=xl/tables/table100.xml><?xml version="1.0" encoding="utf-8"?>
<table xmlns="http://schemas.openxmlformats.org/spreadsheetml/2006/main" id="89" name="ResumoPosto64_6410890" displayName="ResumoPosto64_6410890" ref="A139:D147" totalsRowShown="0">
  <autoFilter ref="A139:D147"/>
  <tableColumns count="4">
    <tableColumn id="1" name="Item" dataDxfId="390"/>
    <tableColumn id="2" name="Mão de obra vinculada à execução contratual" dataDxfId="391"/>
    <tableColumn id="3" name="-" dataDxfId="392"/>
    <tableColumn id="4" name="Valor" dataDxfId="393"/>
  </tableColumns>
  <tableStyleInfo showFirstColumn="0" showLastColumn="0" showRowStripes="1" showColumnStripes="0"/>
</table>
</file>

<file path=xl/tables/table101.xml><?xml version="1.0" encoding="utf-8"?>
<table xmlns="http://schemas.openxmlformats.org/spreadsheetml/2006/main" id="64" name="Table43_14365" displayName="Table43_14365" ref="A4:H11">
  <autoFilter ref="A4:H11"/>
  <tableColumns count="8">
    <tableColumn id="1" name="ITEM" totalsRowLabel="Total" dataDxfId="394"/>
    <tableColumn id="2" name="PEÇA" dataDxfId="395"/>
    <tableColumn id="3" name="DESCRIÇÃO" dataDxfId="396"/>
    <tableColumn id="4" name="UNIDADE" dataDxfId="397"/>
    <tableColumn id="5" name="VALOR MÉDIO UNITÁRIO (R$)" dataDxfId="398"/>
    <tableColumn id="6" name="QUANTIDADE ANUAL" dataDxfId="399"/>
    <tableColumn id="7" name="VALOR ANUAL POR EMPREGADO (R$)" dataDxfId="400"/>
    <tableColumn id="8" name="VALOR MENSAL POR EMPREGADO (R$)" totalsRowFunction="sum" dataDxfId="401"/>
  </tableColumns>
  <tableStyleInfo showFirstColumn="0" showLastColumn="0" showRowStripes="1" showColumnStripes="0"/>
</table>
</file>

<file path=xl/tables/table102.xml><?xml version="1.0" encoding="utf-8"?>
<table xmlns="http://schemas.openxmlformats.org/spreadsheetml/2006/main" id="7" name="Table39" displayName="Table39" ref="A2:G9" totalsRowCount="1">
  <tableColumns count="7">
    <tableColumn id="1" name="Item" totalsRowLabel="TOTAL" dataDxfId="402"/>
    <tableColumn id="2" name="Descrição" dataDxfId="403"/>
    <tableColumn id="7" name="Unidade" dataDxfId="404"/>
    <tableColumn id="3" name="Quantidade" dataDxfId="405"/>
    <tableColumn id="6" name="VIGÊNCIA (Mês)" dataDxfId="406"/>
    <tableColumn id="4" name="VALOR UNITÁRIO MÁXIMO ACEITÁVEL" dataDxfId="407"/>
    <tableColumn id="5" name="VALOR TOTAL MÁXIMO ACEITÁVEL" totalsRowFunction="custom">
      <totalsRowFormula>SUM(G3:G8)</totalsRowFormula>
       dataDxfId="408"
    </tableColumn>
  </tableColumns>
  <tableStyleInfo name="TableStyleMedium14" showFirstColumn="0" showLastColumn="0" showRowStripes="1" showColumnStripes="0"/>
</table>
</file>

<file path=xl/tables/table11.xml><?xml version="1.0" encoding="utf-8"?>
<table xmlns="http://schemas.openxmlformats.org/spreadsheetml/2006/main" id="18" name="Submódulo2.1" displayName="Submódulo2.1" ref="A21:D24" totalsRowCount="1">
  <autoFilter ref="A21:D23"/>
  <tableColumns count="4">
    <tableColumn id="1" name="2.1" dataDxfId="34"/>
    <tableColumn id="2" name="13º (décimo terceiro) Salário, Férias e Adicional de Férias" dataDxfId="35"/>
    <tableColumn id="3" name="Comentário" dataDxfId="36"/>
    <tableColumn id="4" name="Valor" dataDxfId="37"/>
  </tableColumns>
  <tableStyleInfo showFirstColumn="0" showLastColumn="0" showRowStripes="1" showColumnStripes="0"/>
</table>
</file>

<file path=xl/tables/table12.xml><?xml version="1.0" encoding="utf-8"?>
<table xmlns="http://schemas.openxmlformats.org/spreadsheetml/2006/main" id="20" name="Submódulo2.2" displayName="Submódulo2.2" ref="A32:D41" totalsRowCount="1">
  <autoFilter ref="A32:D40"/>
  <tableColumns count="4">
    <tableColumn id="1" name="2.2" dataDxfId="38"/>
    <tableColumn id="2" name="GPS, FGTS e outras contribuições" dataDxfId="39"/>
    <tableColumn id="3" name="Percentual" dataDxfId="40"/>
    <tableColumn id="4" name="Valor " dataDxfId="41"/>
  </tableColumns>
  <tableStyleInfo showFirstColumn="0" showLastColumn="0" showRowStripes="1" showColumnStripes="0"/>
</table>
</file>

<file path=xl/tables/table13.xml><?xml version="1.0" encoding="utf-8"?>
<table xmlns="http://schemas.openxmlformats.org/spreadsheetml/2006/main" id="22" name="Submódulo2.3" displayName="Submódulo2.3" ref="A48:D53" totalsRowCount="1">
  <autoFilter ref="A48:D52"/>
  <tableColumns count="4">
    <tableColumn id="1" name="2.3" dataDxfId="42"/>
    <tableColumn id="2" name="Benefícios Mensais e Diários" dataDxfId="43"/>
    <tableColumn id="3" name="Comentário" dataDxfId="44"/>
    <tableColumn id="4" name="Valor" dataDxfId="45"/>
  </tableColumns>
  <tableStyleInfo showFirstColumn="0" showLastColumn="0" showRowStripes="1" showColumnStripes="0"/>
</table>
</file>

<file path=xl/tables/table14.xml><?xml version="1.0" encoding="utf-8"?>
<table xmlns="http://schemas.openxmlformats.org/spreadsheetml/2006/main" id="24" name="Submódulo4.1" displayName="Submódulo4.1" ref="A88:D95" totalsRowCount="1">
  <autoFilter ref="A88:D94"/>
  <tableColumns count="4">
    <tableColumn id="1" name="4.1" dataDxfId="46"/>
    <tableColumn id="2" name="Substituto nas Ausências Legais" dataDxfId="47"/>
    <tableColumn id="3" name="Dias de ausência" dataDxfId="48"/>
    <tableColumn id="4" name="Valor" dataDxfId="49"/>
  </tableColumns>
  <tableStyleInfo showFirstColumn="0" showLastColumn="0" showRowStripes="1" showColumnStripes="0"/>
</table>
</file>

<file path=xl/tables/table15.xml><?xml version="1.0" encoding="utf-8"?>
<table xmlns="http://schemas.openxmlformats.org/spreadsheetml/2006/main" id="26" name="Submódulo4.2" displayName="Submódulo4.2" ref="A103:D105" totalsRowCount="1">
  <autoFilter ref="A103:D104"/>
  <tableColumns count="4">
    <tableColumn id="1" name="4.2" dataDxfId="50"/>
    <tableColumn id="2" name="Substituto na Intrajornada " dataDxfId="51"/>
    <tableColumn id="3" name="Comentário" dataDxfId="52"/>
    <tableColumn id="4" name="Valor" dataDxfId="53"/>
  </tableColumns>
  <tableStyleInfo showFirstColumn="0" showLastColumn="0" showRowStripes="1" showColumnStripes="0"/>
</table>
</file>

<file path=xl/tables/table16.xml><?xml version="1.0" encoding="utf-8"?>
<table xmlns="http://schemas.openxmlformats.org/spreadsheetml/2006/main" id="28" name="Table4" displayName="Table4" ref="A2:D7" totalsRowShown="0">
  <tableColumns count="4">
    <tableColumn id="1" name="Item" dataDxfId="54"/>
    <tableColumn id="2" name="Descrição" dataDxfId="55"/>
    <tableColumn id="3" name="Comentário" dataDxfId="56"/>
    <tableColumn id="4" name="Valor" dataDxfId="57"/>
  </tableColumns>
  <tableStyleInfo showFirstColumn="0" showLastColumn="0" showRowStripes="1" showColumnStripes="0"/>
</table>
</file>

<file path=xl/tables/table17.xml><?xml version="1.0" encoding="utf-8"?>
<table xmlns="http://schemas.openxmlformats.org/spreadsheetml/2006/main" id="32" name="Table8" displayName="Table8" ref="A27:D29" totalsRowShown="0">
  <autoFilter ref="A27:D29"/>
  <tableColumns count="4">
    <tableColumn id="1" name="Item" dataDxfId="58"/>
    <tableColumn id="2" name="Rubrica" dataDxfId="59"/>
    <tableColumn id="3" name="Base de Cálculo" dataDxfId="60"/>
    <tableColumn id="4" name="Memória de Cálculo" dataDxfId="61"/>
  </tableColumns>
  <tableStyleInfo showFirstColumn="0" showLastColumn="0" showRowStripes="1" showColumnStripes="0"/>
</table>
</file>

<file path=xl/tables/table18.xml><?xml version="1.0" encoding="utf-8"?>
<table xmlns="http://schemas.openxmlformats.org/spreadsheetml/2006/main" id="33" name="Table839" displayName="Table839" ref="A44:D45" totalsRowShown="0">
  <autoFilter ref="A44:D45"/>
  <tableColumns count="4">
    <tableColumn id="1" name="Item" dataDxfId="62"/>
    <tableColumn id="2" name="Rubrica" dataDxfId="63"/>
    <tableColumn id="3" name="Base de Cálculo" dataDxfId="64"/>
    <tableColumn id="4" name="Memória de Cálculo" dataDxfId="65"/>
  </tableColumns>
  <tableStyleInfo showFirstColumn="0" showLastColumn="0" showRowStripes="1" showColumnStripes="0"/>
</table>
</file>

<file path=xl/tables/table19.xml><?xml version="1.0" encoding="utf-8"?>
<table xmlns="http://schemas.openxmlformats.org/spreadsheetml/2006/main" id="34" name="Table842" displayName="Table842" ref="A56:D58" totalsRowShown="0">
  <autoFilter ref="A56:D58"/>
  <tableColumns count="4">
    <tableColumn id="1" name="Item" dataDxfId="66"/>
    <tableColumn id="2" name="Rubrica" dataDxfId="67"/>
    <tableColumn id="3" name="Base de Cálculo" dataDxfId="68"/>
    <tableColumn id="4" name="Memória de Cálculo" dataDxfId="69"/>
  </tableColumns>
  <tableStyleInfo showFirstColumn="0" showLastColumn="0" showRowStripes="1" showColumnStripes="0"/>
</table>
</file>

<file path=xl/tables/table2.xml><?xml version="1.0" encoding="utf-8"?>
<table xmlns="http://schemas.openxmlformats.org/spreadsheetml/2006/main" id="2" name="DadosDesligamento" displayName="DadosDesligamento" ref="F9:G12" totalsRowShown="0">
  <autoFilter ref="F9:G12"/>
  <tableColumns count="2">
    <tableColumn id="1" name="Tipos" dataDxfId="2"/>
    <tableColumn id="2" name="Percentual" dataDxfId="3"/>
  </tableColumns>
  <tableStyleInfo showFirstColumn="0" showLastColumn="0" showRowStripes="1" showColumnStripes="0"/>
</table>
</file>

<file path=xl/tables/table20.xml><?xml version="1.0" encoding="utf-8"?>
<table xmlns="http://schemas.openxmlformats.org/spreadsheetml/2006/main" id="35" name="Table84237" displayName="Table84237" ref="A78:D84" totalsRowShown="0">
  <autoFilter ref="A78:D84"/>
  <tableColumns count="4">
    <tableColumn id="1" name="Item" dataDxfId="70"/>
    <tableColumn id="2" name="Rubrica" dataDxfId="71"/>
    <tableColumn id="3" name="Base de Cálculo" dataDxfId="72"/>
    <tableColumn id="4" name="Memória de Cálculo" dataDxfId="73"/>
  </tableColumns>
  <tableStyleInfo showFirstColumn="0" showLastColumn="0" showRowStripes="1" showColumnStripes="0"/>
</table>
</file>

<file path=xl/tables/table21.xml><?xml version="1.0" encoding="utf-8"?>
<table xmlns="http://schemas.openxmlformats.org/spreadsheetml/2006/main" id="36" name="Table84238" displayName="Table84238" ref="A98:D100" totalsRowShown="0">
  <autoFilter ref="A98:D100"/>
  <tableColumns count="4">
    <tableColumn id="1" name="Item" dataDxfId="74"/>
    <tableColumn id="2" name="Rubrica" dataDxfId="75"/>
    <tableColumn id="3" name="Base de Cálculo" dataDxfId="76"/>
    <tableColumn id="4" name="Memória de Cálculo" dataDxfId="77"/>
  </tableColumns>
  <tableStyleInfo showFirstColumn="0" showLastColumn="0" showRowStripes="1" showColumnStripes="0"/>
</table>
</file>

<file path=xl/tables/table22.xml><?xml version="1.0" encoding="utf-8"?>
<table xmlns="http://schemas.openxmlformats.org/spreadsheetml/2006/main" id="37" name="Table8423851" displayName="Table8423851" ref="A122:D126" totalsRowShown="0">
  <autoFilter ref="A122:D126"/>
  <tableColumns count="4">
    <tableColumn id="1" name="Item" dataDxfId="78"/>
    <tableColumn id="2" name="Rubrica" dataDxfId="79"/>
    <tableColumn id="3" name="Base de Cálculo" dataDxfId="80"/>
    <tableColumn id="4" name="Memória de Cálculo" dataDxfId="81"/>
  </tableColumns>
  <tableStyleInfo showFirstColumn="0" showLastColumn="0" showRowStripes="1" showColumnStripes="0"/>
</table>
</file>

<file path=xl/tables/table23.xml><?xml version="1.0" encoding="utf-8"?>
<table xmlns="http://schemas.openxmlformats.org/spreadsheetml/2006/main" id="5" name="Módulo358_571046" displayName="Módulo358_571046" ref="A75:D82" totalsRowCount="1">
  <autoFilter ref="A75:D81"/>
  <tableColumns count="4">
    <tableColumn id="1" name="3" totalsRowLabel="Total" dataDxfId="82"/>
    <tableColumn id="2" name="Provisão para Rescisão" dataDxfId="83"/>
    <tableColumn id="3" name="Percentual" totalsRowFunction="custom">
      <totalsRowFormula>SUM(C76:C81)</totalsRowFormula>
       dataDxfId="84"
    </tableColumn>
    <tableColumn id="4" name="Valor" totalsRowFunction="custom">
      <totalsRowFormula>TRUNC((SUM(D76:D81)),2)</totalsRowFormula>
       dataDxfId="85"
    </tableColumn>
  </tableColumns>
  <tableStyleInfo showFirstColumn="0" showLastColumn="0" showRowStripes="1" showColumnStripes="0"/>
</table>
</file>

<file path=xl/tables/table24.xml><?xml version="1.0" encoding="utf-8"?>
<table xmlns="http://schemas.openxmlformats.org/spreadsheetml/2006/main" id="9" name="ResumoMódulo257_6011310" displayName="ResumoMódulo257_6011310" ref="A68:D72" totalsRowCount="1">
  <autoFilter ref="A68:D71"/>
  <tableColumns count="4">
    <tableColumn id="1" name="2" totalsRowLabel="Total" dataDxfId="86"/>
    <tableColumn id="2" name="Encargos e Benefícios Anuais, Mensais e Diários" dataDxfId="87"/>
    <tableColumn id="3" name="Comentário" dataDxfId="88"/>
    <tableColumn id="4" name="Valor" totalsRowFunction="custom">
      <totalsRowFormula>TRUNC((SUM(D69:D71)),2)</totalsRowFormula>
       dataDxfId="89"
    </tableColumn>
  </tableColumns>
  <tableStyleInfo showFirstColumn="0" showLastColumn="0" showRowStripes="1" showColumnStripes="0"/>
</table>
</file>

<file path=xl/tables/table25.xml><?xml version="1.0" encoding="utf-8"?>
<table xmlns="http://schemas.openxmlformats.org/spreadsheetml/2006/main" id="11" name="Submódulo2.255_6311412" displayName="Submódulo2.255_6311412" ref="A46:D55" totalsRowCount="1">
  <autoFilter ref="A46:D54"/>
  <tableColumns count="4">
    <tableColumn id="1" name="2.2" totalsRowLabel="Total" dataDxfId="90"/>
    <tableColumn id="2" name="GPS, FGTS e outras contribuições" dataDxfId="91"/>
    <tableColumn id="3" name="Percentual" totalsRowFunction="custom">
      <totalsRowFormula>SUM(C47:C54)</totalsRowFormula>
       dataDxfId="92"
    </tableColumn>
    <tableColumn id="4" name="Valor " totalsRowFunction="custom">
      <totalsRowFormula>TRUNC(SUM(D47:D54),2)</totalsRowFormula>
       dataDxfId="93"
    </tableColumn>
  </tableColumns>
  <tableStyleInfo showFirstColumn="0" showLastColumn="0" showRowStripes="1" showColumnStripes="0"/>
</table>
</file>

<file path=xl/tables/table26.xml><?xml version="1.0" encoding="utf-8"?>
<table xmlns="http://schemas.openxmlformats.org/spreadsheetml/2006/main" id="13" name="Módulo562_5811614" displayName="Módulo562_5811614" ref="A112:D118" totalsRowCount="1">
  <autoFilter ref="A112:D117"/>
  <tableColumns count="4">
    <tableColumn id="1" name="5" totalsRowLabel="Total" dataDxfId="94"/>
    <tableColumn id="2" name="Insumos Diversos" dataDxfId="95"/>
    <tableColumn id="3" name="Comentário" dataDxfId="96"/>
    <tableColumn id="4" name="Valor" totalsRowFunction="custom">
      <totalsRowFormula>TRUNC(SUM(D113:D117),2)</totalsRowFormula>
       dataDxfId="97"
    </tableColumn>
  </tableColumns>
  <tableStyleInfo showFirstColumn="0" showLastColumn="0" showRowStripes="1" showColumnStripes="0"/>
</table>
</file>

<file path=xl/tables/table27.xml><?xml version="1.0" encoding="utf-8"?>
<table xmlns="http://schemas.openxmlformats.org/spreadsheetml/2006/main" id="15" name="Módulo663_5910516" displayName="Módulo663_5910516" ref="A128:D135" totalsRowCount="1">
  <tableColumns count="4">
    <tableColumn id="1" name="6" totalsRowLabel="Total" dataDxfId="98"/>
    <tableColumn id="2" name="Custos Indiretos, Tributos e Lucro" dataDxfId="99"/>
    <tableColumn id="3" name="Percentual" dataDxfId="100"/>
    <tableColumn id="4" name="Valor" totalsRowFunction="custom">
      <totalsRowFormula>SUM(D129:D131)</totalsRowFormula>
       dataDxfId="101"
    </tableColumn>
  </tableColumns>
  <tableStyleInfo showFirstColumn="0" showLastColumn="0" showRowStripes="1" showColumnStripes="0"/>
</table>
</file>

<file path=xl/tables/table28.xml><?xml version="1.0" encoding="utf-8"?>
<table xmlns="http://schemas.openxmlformats.org/spreadsheetml/2006/main" id="17" name="ResumoMódulo461_6211518" displayName="ResumoMódulo461_6211518" ref="A106:D109" totalsRowCount="1">
  <autoFilter ref="A106:D108"/>
  <tableColumns count="4">
    <tableColumn id="1" name="4" totalsRowLabel="Total" dataDxfId="102"/>
    <tableColumn id="2" name="Custo de Reposição do Profissional Ausente" dataDxfId="103"/>
    <tableColumn id="3" name="Comentário" totalsRowLabel="*Nota: Se o titular USUFRUIR do descanso intrajornada, o total é o somatório dos subitens 4.1 e 4.2" dataDxfId="104"/>
    <tableColumn id="4" name="Valor" totalsRowFunction="custom">
      <totalsRowFormula>TRUNC((SUM(D107:D108)),2)</totalsRowFormula>
       dataDxfId="105"
    </tableColumn>
  </tableColumns>
  <tableStyleInfo showFirstColumn="0" showLastColumn="0" showRowStripes="1" showColumnStripes="0"/>
</table>
</file>

<file path=xl/tables/table29.xml><?xml version="1.0" encoding="utf-8"?>
<table xmlns="http://schemas.openxmlformats.org/spreadsheetml/2006/main" id="19" name="Submódulo4.260_5510720" displayName="Submódulo4.260_5510720" ref="A101:D103" totalsRowCount="1">
  <autoFilter ref="A101:D102"/>
  <tableColumns count="4">
    <tableColumn id="1" name="4.2" totalsRowLabel="Total" dataDxfId="106"/>
    <tableColumn id="2" name="Substituto na Intrajornada " dataDxfId="107"/>
    <tableColumn id="3" name="Comentário" dataDxfId="108"/>
    <tableColumn id="4" name="Valor" totalsRowFunction="custom">
      <totalsRowFormula>D102</totalsRowFormula>
       dataDxfId="109"
    </tableColumn>
  </tableColumns>
  <tableStyleInfo showFirstColumn="0" showLastColumn="0" showRowStripes="1" showColumnStripes="0"/>
</table>
</file>

<file path=xl/tables/table3.xml><?xml version="1.0" encoding="utf-8"?>
<table xmlns="http://schemas.openxmlformats.org/spreadsheetml/2006/main" id="3" name="DadosGerais" displayName="DadosGerais" ref="F2:G6" totalsRowShown="0">
  <autoFilter ref="F2:G6"/>
  <tableColumns count="2">
    <tableColumn id="1" name="Descrição" dataDxfId="4"/>
    <tableColumn id="2" name="Valor" dataDxfId="5"/>
  </tableColumns>
  <tableStyleInfo showFirstColumn="0" showLastColumn="0" showRowStripes="1" showColumnStripes="0"/>
</table>
</file>

<file path=xl/tables/table30.xml><?xml version="1.0" encoding="utf-8"?>
<table xmlns="http://schemas.openxmlformats.org/spreadsheetml/2006/main" id="21" name="Submódulo2.154_6111122" displayName="Submódulo2.154_6111122" ref="A36:D39" totalsRowCount="1">
  <autoFilter ref="A36:D38"/>
  <tableColumns count="4">
    <tableColumn id="1" name="2.1" totalsRowLabel="Total" dataDxfId="110"/>
    <tableColumn id="2" name="13º (décimo terceiro) Salário, Férias e Adicional de Férias" dataDxfId="111"/>
    <tableColumn id="3" name="Percentual" dataDxfId="112"/>
    <tableColumn id="4" name="Valor" totalsRowFunction="custom">
      <totalsRowFormula>TRUNC((SUM(D37:D38)),2)</totalsRowFormula>
       dataDxfId="113"
    </tableColumn>
  </tableColumns>
  <tableStyleInfo showFirstColumn="0" showLastColumn="0" showRowStripes="1" showColumnStripes="0"/>
</table>
</file>

<file path=xl/tables/table31.xml><?xml version="1.0" encoding="utf-8"?>
<table xmlns="http://schemas.openxmlformats.org/spreadsheetml/2006/main" id="23" name="Submódulo4.159_5411024" displayName="Submódulo4.159_5411024" ref="A91:D98" totalsRowCount="1">
  <autoFilter ref="A91:D97"/>
  <tableColumns count="4">
    <tableColumn id="1" name="4.1" totalsRowLabel="Total" dataDxfId="114"/>
    <tableColumn id="2" name="Substituto nas Ausências Legais" dataDxfId="115"/>
    <tableColumn id="3" name="Percentual" totalsRowFunction="custom">
      <totalsRowFormula>SUM(C92:C97)</totalsRowFormula>
       dataDxfId="116"
    </tableColumn>
    <tableColumn id="4" name="Valor" totalsRowFunction="custom">
      <totalsRowFormula>TRUNC((SUM(D92:D97)),2)</totalsRowFormula>
       dataDxfId="117"
    </tableColumn>
  </tableColumns>
  <tableStyleInfo showFirstColumn="0" showLastColumn="0" showRowStripes="1" showColumnStripes="0"/>
</table>
</file>

<file path=xl/tables/table32.xml><?xml version="1.0" encoding="utf-8"?>
<table xmlns="http://schemas.openxmlformats.org/spreadsheetml/2006/main" id="25" name="Módulo153_5210926" displayName="Módulo153_5210926" ref="A24:D31" totalsRowCount="1">
  <autoFilter ref="A24:D30"/>
  <tableColumns count="4">
    <tableColumn id="1" name="1" totalsRowLabel="Total" dataDxfId="118"/>
    <tableColumn id="2" name="Composição da Remuneração" dataDxfId="119"/>
    <tableColumn id="3" name="Comentário" dataDxfId="120"/>
    <tableColumn id="4" name="Valor" totalsRowFunction="custom">
      <totalsRowFormula>TRUNC((SUM(D25:D30)),2)</totalsRowFormula>
       dataDxfId="121"
    </tableColumn>
  </tableColumns>
  <tableStyleInfo showFirstColumn="0" showLastColumn="0" showRowStripes="1" showColumnStripes="0"/>
</table>
</file>

<file path=xl/tables/table33.xml><?xml version="1.0" encoding="utf-8"?>
<table xmlns="http://schemas.openxmlformats.org/spreadsheetml/2006/main" id="27" name="Submódulo2.356_5311228" displayName="Submódulo2.356_5311228" ref="A58:D65" totalsRowCount="1">
  <autoFilter ref="A58:D64"/>
  <tableColumns count="4">
    <tableColumn id="1" name="2.3" totalsRowLabel="Total" dataDxfId="122"/>
    <tableColumn id="2" name="Benefícios Mensais e Diários" dataDxfId="123"/>
    <tableColumn id="3" name="Comentário" dataDxfId="124"/>
    <tableColumn id="4" name="Valor" totalsRowFunction="custom">
      <totalsRowFormula>TRUNC((SUM(D59:D64)),2)</totalsRowFormula>
       dataDxfId="125"
    </tableColumn>
  </tableColumns>
  <tableStyleInfo showFirstColumn="0" showLastColumn="0" showRowStripes="1" showColumnStripes="0"/>
</table>
</file>

<file path=xl/tables/table34.xml><?xml version="1.0" encoding="utf-8"?>
<table xmlns="http://schemas.openxmlformats.org/spreadsheetml/2006/main" id="29" name="Table452_5610630" displayName="Table452_5610630" ref="A16:D21" totalsRowShown="0">
  <tableColumns count="4">
    <tableColumn id="1" name="Item" dataDxfId="126"/>
    <tableColumn id="2" name="Descrição" dataDxfId="127"/>
    <tableColumn id="3" name="Comentário" dataDxfId="128"/>
    <tableColumn id="4" name="Valor" dataDxfId="129"/>
  </tableColumns>
  <tableStyleInfo showFirstColumn="0" showLastColumn="0" showRowStripes="1" showColumnStripes="0"/>
</table>
</file>

<file path=xl/tables/table35.xml><?xml version="1.0" encoding="utf-8"?>
<table xmlns="http://schemas.openxmlformats.org/spreadsheetml/2006/main" id="30" name="ResumoPosto64_6410831" displayName="ResumoPosto64_6410831" ref="A139:D147" totalsRowShown="0">
  <autoFilter ref="A139:D147"/>
  <tableColumns count="4">
    <tableColumn id="1" name="Item" dataDxfId="130"/>
    <tableColumn id="2" name="Mão de obra vinculada à execução contratual" dataDxfId="131"/>
    <tableColumn id="3" name="-" dataDxfId="132"/>
    <tableColumn id="4" name="Valor" dataDxfId="133"/>
  </tableColumns>
  <tableStyleInfo showFirstColumn="0" showLastColumn="0" showRowStripes="1" showColumnStripes="0"/>
</table>
</file>

<file path=xl/tables/table36.xml><?xml version="1.0" encoding="utf-8"?>
<table xmlns="http://schemas.openxmlformats.org/spreadsheetml/2006/main" id="103" name="Módulo358_57104" displayName="Módulo358_57104" ref="A75:D82" totalsRowCount="1">
  <autoFilter ref="A75:D81"/>
  <tableColumns count="4">
    <tableColumn id="1" name="3" totalsRowLabel="Total" dataDxfId="134"/>
    <tableColumn id="2" name="Provisão para Rescisão" dataDxfId="135"/>
    <tableColumn id="3" name="Percentual" totalsRowFunction="custom">
      <totalsRowFormula>SUM(C76:C81)</totalsRowFormula>
       dataDxfId="136"
    </tableColumn>
    <tableColumn id="4" name="Valor" totalsRowFunction="custom">
      <totalsRowFormula>TRUNC((SUM(D76:D81)),2)</totalsRowFormula>
       dataDxfId="137"
    </tableColumn>
  </tableColumns>
  <tableStyleInfo showFirstColumn="0" showLastColumn="0" showRowStripes="1" showColumnStripes="0"/>
</table>
</file>

<file path=xl/tables/table37.xml><?xml version="1.0" encoding="utf-8"?>
<table xmlns="http://schemas.openxmlformats.org/spreadsheetml/2006/main" id="104" name="Módulo663_59105" displayName="Módulo663_59105" ref="A128:D135" totalsRowCount="1">
  <tableColumns count="4">
    <tableColumn id="1" name="6" totalsRowLabel="Total" dataDxfId="138"/>
    <tableColumn id="2" name="Custos Indiretos, Tributos e Lucro" dataDxfId="139"/>
    <tableColumn id="3" name="Percentual" dataDxfId="140"/>
    <tableColumn id="4" name="Valor" totalsRowFunction="custom">
      <totalsRowFormula>SUM(D129:D131)</totalsRowFormula>
       dataDxfId="141"
    </tableColumn>
  </tableColumns>
  <tableStyleInfo showFirstColumn="0" showLastColumn="0" showRowStripes="1" showColumnStripes="0"/>
</table>
</file>

<file path=xl/tables/table38.xml><?xml version="1.0" encoding="utf-8"?>
<table xmlns="http://schemas.openxmlformats.org/spreadsheetml/2006/main" id="105" name="Table452_56106" displayName="Table452_56106" ref="A16:D21" totalsRowShown="0">
  <tableColumns count="4">
    <tableColumn id="1" name="Item" dataDxfId="142"/>
    <tableColumn id="2" name="Descrição" dataDxfId="143"/>
    <tableColumn id="3" name="Comentário" dataDxfId="144"/>
    <tableColumn id="4" name="Valor" dataDxfId="145"/>
  </tableColumns>
  <tableStyleInfo showFirstColumn="0" showLastColumn="0" showRowStripes="1" showColumnStripes="0"/>
</table>
</file>

<file path=xl/tables/table39.xml><?xml version="1.0" encoding="utf-8"?>
<table xmlns="http://schemas.openxmlformats.org/spreadsheetml/2006/main" id="106" name="Submódulo4.260_55107" displayName="Submódulo4.260_55107" ref="A101:D103" totalsRowCount="1">
  <autoFilter ref="A101:D102"/>
  <tableColumns count="4">
    <tableColumn id="1" name="4.2" totalsRowLabel="Total" dataDxfId="146"/>
    <tableColumn id="2" name="Substituto na Intrajornada " dataDxfId="147"/>
    <tableColumn id="3" name="Comentário" dataDxfId="148"/>
    <tableColumn id="4" name="Valor" totalsRowFunction="custom">
      <totalsRowFormula>D102</totalsRowFormula>
       dataDxfId="149"
    </tableColumn>
  </tableColumns>
  <tableStyleInfo showFirstColumn="0" showLastColumn="0" showRowStripes="1" showColumnStripes="0"/>
</table>
</file>

<file path=xl/tables/table4.xml><?xml version="1.0" encoding="utf-8"?>
<table xmlns="http://schemas.openxmlformats.org/spreadsheetml/2006/main" id="4" name="Módulo1" displayName="Módulo1" ref="A10:D17" totalsRowCount="1">
  <autoFilter ref="A10:D16"/>
  <tableColumns count="4">
    <tableColumn id="1" name="1" dataDxfId="6"/>
    <tableColumn id="2" name="Composição da Remuneração" dataDxfId="7"/>
    <tableColumn id="3" name="Comentário" dataDxfId="8"/>
    <tableColumn id="4" name="Valor" dataDxfId="9"/>
  </tableColumns>
  <tableStyleInfo showFirstColumn="0" showLastColumn="0" showRowStripes="1" showColumnStripes="0"/>
</table>
</file>

<file path=xl/tables/table40.xml><?xml version="1.0" encoding="utf-8"?>
<table xmlns="http://schemas.openxmlformats.org/spreadsheetml/2006/main" id="107" name="ResumoPosto64_64108" displayName="ResumoPosto64_64108" ref="A139:D147" totalsRowShown="0">
  <autoFilter ref="A139:D147"/>
  <tableColumns count="4">
    <tableColumn id="1" name="Item" dataDxfId="150"/>
    <tableColumn id="2" name="Mão de obra vinculada à execução contratual" dataDxfId="151"/>
    <tableColumn id="3" name="-" dataDxfId="152"/>
    <tableColumn id="4" name="Valor" dataDxfId="153"/>
  </tableColumns>
  <tableStyleInfo showFirstColumn="0" showLastColumn="0" showRowStripes="1" showColumnStripes="0"/>
</table>
</file>

<file path=xl/tables/table41.xml><?xml version="1.0" encoding="utf-8"?>
<table xmlns="http://schemas.openxmlformats.org/spreadsheetml/2006/main" id="108" name="Módulo153_52109" displayName="Módulo153_52109" ref="A24:D31" totalsRowCount="1">
  <autoFilter ref="A24:D30"/>
  <tableColumns count="4">
    <tableColumn id="1" name="1" totalsRowLabel="Total" dataDxfId="154"/>
    <tableColumn id="2" name="Composição da Remuneração" dataDxfId="155"/>
    <tableColumn id="3" name="Comentário" dataDxfId="156"/>
    <tableColumn id="4" name="Valor" totalsRowFunction="custom">
      <totalsRowFormula>TRUNC((SUM(D25:D30)),2)</totalsRowFormula>
       dataDxfId="157"
    </tableColumn>
  </tableColumns>
  <tableStyleInfo showFirstColumn="0" showLastColumn="0" showRowStripes="1" showColumnStripes="0"/>
</table>
</file>

<file path=xl/tables/table42.xml><?xml version="1.0" encoding="utf-8"?>
<table xmlns="http://schemas.openxmlformats.org/spreadsheetml/2006/main" id="109" name="Submódulo4.159_54110" displayName="Submódulo4.159_54110" ref="A91:D98" totalsRowCount="1">
  <autoFilter ref="A91:D97"/>
  <tableColumns count="4">
    <tableColumn id="1" name="4.1" totalsRowLabel="Total" dataDxfId="158"/>
    <tableColumn id="2" name="Substituto nas Ausências Legais" dataDxfId="159"/>
    <tableColumn id="3" name="Percentual" totalsRowFunction="custom">
      <totalsRowFormula>SUM(C92:C97)</totalsRowFormula>
       dataDxfId="160"
    </tableColumn>
    <tableColumn id="4" name="Valor" totalsRowFunction="custom">
      <totalsRowFormula>TRUNC((SUM(D92:D97)),2)</totalsRowFormula>
       dataDxfId="161"
    </tableColumn>
  </tableColumns>
  <tableStyleInfo showFirstColumn="0" showLastColumn="0" showRowStripes="1" showColumnStripes="0"/>
</table>
</file>

<file path=xl/tables/table43.xml><?xml version="1.0" encoding="utf-8"?>
<table xmlns="http://schemas.openxmlformats.org/spreadsheetml/2006/main" id="110" name="Submódulo2.154_61111" displayName="Submódulo2.154_61111" ref="A36:D39" totalsRowCount="1">
  <autoFilter ref="A36:D38"/>
  <tableColumns count="4">
    <tableColumn id="1" name="2.1" totalsRowLabel="Total" dataDxfId="162"/>
    <tableColumn id="2" name="13º (décimo terceiro) Salário, Férias e Adicional de Férias" dataDxfId="163"/>
    <tableColumn id="3" name="Percentual" dataDxfId="164"/>
    <tableColumn id="4" name="Valor" totalsRowFunction="custom">
      <totalsRowFormula>TRUNC((SUM(D37:D38)),2)</totalsRowFormula>
       dataDxfId="165"
    </tableColumn>
  </tableColumns>
  <tableStyleInfo showFirstColumn="0" showLastColumn="0" showRowStripes="1" showColumnStripes="0"/>
</table>
</file>

<file path=xl/tables/table44.xml><?xml version="1.0" encoding="utf-8"?>
<table xmlns="http://schemas.openxmlformats.org/spreadsheetml/2006/main" id="111" name="Submódulo2.356_53112" displayName="Submódulo2.356_53112" ref="A58:D65" totalsRowCount="1">
  <autoFilter ref="A58:D64"/>
  <tableColumns count="4">
    <tableColumn id="1" name="2.3" totalsRowLabel="Total" dataDxfId="166"/>
    <tableColumn id="2" name="Benefícios Mensais e Diários" dataDxfId="167"/>
    <tableColumn id="3" name="Comentário" dataDxfId="168"/>
    <tableColumn id="4" name="Valor" totalsRowFunction="custom">
      <totalsRowFormula>TRUNC((SUM(D59:D64)),2)</totalsRowFormula>
       dataDxfId="169"
    </tableColumn>
  </tableColumns>
  <tableStyleInfo showFirstColumn="0" showLastColumn="0" showRowStripes="1" showColumnStripes="0"/>
</table>
</file>

<file path=xl/tables/table45.xml><?xml version="1.0" encoding="utf-8"?>
<table xmlns="http://schemas.openxmlformats.org/spreadsheetml/2006/main" id="112" name="ResumoMódulo257_60113" displayName="ResumoMódulo257_60113" ref="A68:D72" totalsRowCount="1">
  <autoFilter ref="A68:D71"/>
  <tableColumns count="4">
    <tableColumn id="1" name="2" totalsRowLabel="Total" dataDxfId="170"/>
    <tableColumn id="2" name="Encargos e Benefícios Anuais, Mensais e Diários" dataDxfId="171"/>
    <tableColumn id="3" name="Comentário" dataDxfId="172"/>
    <tableColumn id="4" name="Valor" totalsRowFunction="custom">
      <totalsRowFormula>TRUNC((SUM(D69:D71)),2)</totalsRowFormula>
       dataDxfId="173"
    </tableColumn>
  </tableColumns>
  <tableStyleInfo showFirstColumn="0" showLastColumn="0" showRowStripes="1" showColumnStripes="0"/>
</table>
</file>

<file path=xl/tables/table46.xml><?xml version="1.0" encoding="utf-8"?>
<table xmlns="http://schemas.openxmlformats.org/spreadsheetml/2006/main" id="113" name="Submódulo2.255_63114" displayName="Submódulo2.255_63114" ref="A46:D55" totalsRowCount="1">
  <autoFilter ref="A46:D54"/>
  <tableColumns count="4">
    <tableColumn id="1" name="2.2" totalsRowLabel="Total" dataDxfId="174"/>
    <tableColumn id="2" name="GPS, FGTS e outras contribuições" dataDxfId="175"/>
    <tableColumn id="3" name="Percentual" totalsRowFunction="custom">
      <totalsRowFormula>SUM(C47:C54)</totalsRowFormula>
       dataDxfId="176"
    </tableColumn>
    <tableColumn id="4" name="Valor " totalsRowFunction="custom">
      <totalsRowFormula>TRUNC(SUM(D47:D54),2)</totalsRowFormula>
       dataDxfId="177"
    </tableColumn>
  </tableColumns>
  <tableStyleInfo showFirstColumn="0" showLastColumn="0" showRowStripes="1" showColumnStripes="0"/>
</table>
</file>

<file path=xl/tables/table47.xml><?xml version="1.0" encoding="utf-8"?>
<table xmlns="http://schemas.openxmlformats.org/spreadsheetml/2006/main" id="114" name="ResumoMódulo461_62115" displayName="ResumoMódulo461_62115" ref="A106:D109" totalsRowCount="1">
  <autoFilter ref="A106:D108"/>
  <tableColumns count="4">
    <tableColumn id="1" name="4" totalsRowLabel="Total" dataDxfId="178"/>
    <tableColumn id="2" name="Custo de Reposição do Profissional Ausente" dataDxfId="179"/>
    <tableColumn id="3" name="Comentário" totalsRowLabel="*Nota: Se o titular USUFRUIR do descanso intrajornada, o total é o somatório dos subitens 4.1 e 4.2" dataDxfId="180"/>
    <tableColumn id="4" name="Valor" totalsRowFunction="custom">
      <totalsRowFormula>TRUNC((SUM(D107:D108)),2)</totalsRowFormula>
       dataDxfId="181"
    </tableColumn>
  </tableColumns>
  <tableStyleInfo showFirstColumn="0" showLastColumn="0" showRowStripes="1" showColumnStripes="0"/>
</table>
</file>

<file path=xl/tables/table48.xml><?xml version="1.0" encoding="utf-8"?>
<table xmlns="http://schemas.openxmlformats.org/spreadsheetml/2006/main" id="115" name="Módulo562_58116" displayName="Módulo562_58116" ref="A112:D118" totalsRowCount="1">
  <autoFilter ref="A112:D117"/>
  <tableColumns count="4">
    <tableColumn id="1" name="5" totalsRowLabel="Total" dataDxfId="182"/>
    <tableColumn id="2" name="Insumos Diversos" dataDxfId="183"/>
    <tableColumn id="3" name="Comentário" dataDxfId="184"/>
    <tableColumn id="4" name="Valor" totalsRowFunction="custom">
      <totalsRowFormula>TRUNC(SUM(D113:D117),2)</totalsRowFormula>
       dataDxfId="185"
    </tableColumn>
  </tableColumns>
  <tableStyleInfo showFirstColumn="0" showLastColumn="0" showRowStripes="1" showColumnStripes="0"/>
</table>
</file>

<file path=xl/tables/table49.xml><?xml version="1.0" encoding="utf-8"?>
<table xmlns="http://schemas.openxmlformats.org/spreadsheetml/2006/main" id="31" name="Módulo358_5710432" displayName="Módulo358_5710432" ref="A75:D82" totalsRowCount="1">
  <autoFilter ref="A75:D81"/>
  <tableColumns count="4">
    <tableColumn id="1" name="3" totalsRowLabel="Total" dataDxfId="186"/>
    <tableColumn id="2" name="Provisão para Rescisão" dataDxfId="187"/>
    <tableColumn id="3" name="Percentual" totalsRowFunction="custom">
      <totalsRowFormula>SUM(C76:C81)</totalsRowFormula>
       dataDxfId="188"
    </tableColumn>
    <tableColumn id="4" name="Valor" totalsRowFunction="custom">
      <totalsRowFormula>TRUNC((SUM(D76:D81)),2)</totalsRowFormula>
       dataDxfId="189"
    </tableColumn>
  </tableColumns>
  <tableStyleInfo showFirstColumn="0" showLastColumn="0" showRowStripes="1" showColumnStripes="0"/>
</table>
</file>

<file path=xl/tables/table5.xml><?xml version="1.0" encoding="utf-8"?>
<table xmlns="http://schemas.openxmlformats.org/spreadsheetml/2006/main" id="6" name="Módulo3" displayName="Módulo3" ref="A68:D75" totalsRowCount="1">
  <autoFilter ref="A68:D74"/>
  <tableColumns count="4">
    <tableColumn id="1" name="3" dataDxfId="10"/>
    <tableColumn id="2" name="Provisão para Rescisão" dataDxfId="11"/>
    <tableColumn id="3" name="Comentário" dataDxfId="12"/>
    <tableColumn id="4" name="Valor" dataDxfId="13"/>
  </tableColumns>
  <tableStyleInfo showFirstColumn="0" showLastColumn="0" showRowStripes="1" showColumnStripes="0"/>
</table>
</file>

<file path=xl/tables/table50.xml><?xml version="1.0" encoding="utf-8"?>
<table xmlns="http://schemas.openxmlformats.org/spreadsheetml/2006/main" id="38" name="ResumoMódulo257_6011339" displayName="ResumoMódulo257_6011339" ref="A68:D72" totalsRowCount="1">
  <autoFilter ref="A68:D71"/>
  <tableColumns count="4">
    <tableColumn id="1" name="2" totalsRowLabel="Total" dataDxfId="190"/>
    <tableColumn id="2" name="Encargos e Benefícios Anuais, Mensais e Diários" dataDxfId="191"/>
    <tableColumn id="3" name="Comentário" dataDxfId="192"/>
    <tableColumn id="4" name="Valor" totalsRowFunction="custom">
      <totalsRowFormula>TRUNC((SUM(D69:D71)),2)</totalsRowFormula>
       dataDxfId="193"
    </tableColumn>
  </tableColumns>
  <tableStyleInfo showFirstColumn="0" showLastColumn="0" showRowStripes="1" showColumnStripes="0"/>
</table>
</file>

<file path=xl/tables/table51.xml><?xml version="1.0" encoding="utf-8"?>
<table xmlns="http://schemas.openxmlformats.org/spreadsheetml/2006/main" id="39" name="Submódulo2.255_6311440" displayName="Submódulo2.255_6311440" ref="A46:D55" totalsRowCount="1">
  <autoFilter ref="A46:D54"/>
  <tableColumns count="4">
    <tableColumn id="1" name="2.2" totalsRowLabel="Total" dataDxfId="194"/>
    <tableColumn id="2" name="GPS, FGTS e outras contribuições" dataDxfId="195"/>
    <tableColumn id="3" name="Percentual" totalsRowFunction="custom">
      <totalsRowFormula>SUM(C47:C54)</totalsRowFormula>
       dataDxfId="196"
    </tableColumn>
    <tableColumn id="4" name="Valor " totalsRowFunction="custom">
      <totalsRowFormula>TRUNC(SUM(D47:D54),2)</totalsRowFormula>
       dataDxfId="197"
    </tableColumn>
  </tableColumns>
  <tableStyleInfo showFirstColumn="0" showLastColumn="0" showRowStripes="1" showColumnStripes="0"/>
</table>
</file>

<file path=xl/tables/table52.xml><?xml version="1.0" encoding="utf-8"?>
<table xmlns="http://schemas.openxmlformats.org/spreadsheetml/2006/main" id="40" name="Módulo562_5811641" displayName="Módulo562_5811641" ref="A112:D118" totalsRowCount="1">
  <autoFilter ref="A112:D117"/>
  <tableColumns count="4">
    <tableColumn id="1" name="5" totalsRowLabel="Total" dataDxfId="198"/>
    <tableColumn id="2" name="Insumos Diversos" dataDxfId="199"/>
    <tableColumn id="3" name="Comentário" dataDxfId="200"/>
    <tableColumn id="4" name="Valor" totalsRowFunction="custom">
      <totalsRowFormula>TRUNC(SUM(D113:D117),2)</totalsRowFormula>
       dataDxfId="201"
    </tableColumn>
  </tableColumns>
  <tableStyleInfo showFirstColumn="0" showLastColumn="0" showRowStripes="1" showColumnStripes="0"/>
</table>
</file>

<file path=xl/tables/table53.xml><?xml version="1.0" encoding="utf-8"?>
<table xmlns="http://schemas.openxmlformats.org/spreadsheetml/2006/main" id="41" name="Módulo663_5910542" displayName="Módulo663_5910542" ref="A128:D135" totalsRowCount="1">
  <tableColumns count="4">
    <tableColumn id="1" name="6" totalsRowLabel="Total" dataDxfId="202"/>
    <tableColumn id="2" name="Custos Indiretos, Tributos e Lucro" dataDxfId="203"/>
    <tableColumn id="3" name="Percentual" dataDxfId="204"/>
    <tableColumn id="4" name="Valor" totalsRowFunction="custom">
      <totalsRowFormula>SUM(D129:D131)</totalsRowFormula>
       dataDxfId="205"
    </tableColumn>
  </tableColumns>
  <tableStyleInfo showFirstColumn="0" showLastColumn="0" showRowStripes="1" showColumnStripes="0"/>
</table>
</file>

<file path=xl/tables/table54.xml><?xml version="1.0" encoding="utf-8"?>
<table xmlns="http://schemas.openxmlformats.org/spreadsheetml/2006/main" id="42" name="ResumoMódulo461_6211543" displayName="ResumoMódulo461_6211543" ref="A106:D109" totalsRowCount="1">
  <autoFilter ref="A106:D108"/>
  <tableColumns count="4">
    <tableColumn id="1" name="4" totalsRowLabel="Total" dataDxfId="206"/>
    <tableColumn id="2" name="Custo de Reposição do Profissional Ausente" dataDxfId="207"/>
    <tableColumn id="3" name="Comentário" totalsRowLabel="*Nota: Se o titular USUFRUIR do descanso intrajornada, o total é o somatório dos subitens 4.1 e 4.2" dataDxfId="208"/>
    <tableColumn id="4" name="Valor" totalsRowFunction="custom">
      <totalsRowFormula>TRUNC((SUM(D107:D108)),2)</totalsRowFormula>
       dataDxfId="209"
    </tableColumn>
  </tableColumns>
  <tableStyleInfo showFirstColumn="0" showLastColumn="0" showRowStripes="1" showColumnStripes="0"/>
</table>
</file>

<file path=xl/tables/table55.xml><?xml version="1.0" encoding="utf-8"?>
<table xmlns="http://schemas.openxmlformats.org/spreadsheetml/2006/main" id="43" name="Submódulo4.260_5510744" displayName="Submódulo4.260_5510744" ref="A101:D103" totalsRowCount="1">
  <autoFilter ref="A101:D102"/>
  <tableColumns count="4">
    <tableColumn id="1" name="4.2" totalsRowLabel="Total" dataDxfId="210"/>
    <tableColumn id="2" name="Substituto na Intrajornada " dataDxfId="211"/>
    <tableColumn id="3" name="Comentário" dataDxfId="212"/>
    <tableColumn id="4" name="Valor" totalsRowFunction="custom">
      <totalsRowFormula>D102</totalsRowFormula>
       dataDxfId="213"
    </tableColumn>
  </tableColumns>
  <tableStyleInfo showFirstColumn="0" showLastColumn="0" showRowStripes="1" showColumnStripes="0"/>
</table>
</file>

<file path=xl/tables/table56.xml><?xml version="1.0" encoding="utf-8"?>
<table xmlns="http://schemas.openxmlformats.org/spreadsheetml/2006/main" id="44" name="Submódulo2.154_6111145" displayName="Submódulo2.154_6111145" ref="A36:D39" totalsRowCount="1">
  <autoFilter ref="A36:D38"/>
  <tableColumns count="4">
    <tableColumn id="1" name="2.1" totalsRowLabel="Total" dataDxfId="214"/>
    <tableColumn id="2" name="13º (décimo terceiro) Salário, Férias e Adicional de Férias" dataDxfId="215"/>
    <tableColumn id="3" name="Percentual" dataDxfId="216"/>
    <tableColumn id="4" name="Valor" totalsRowFunction="custom">
      <totalsRowFormula>TRUNC((SUM(D37:D38)),2)</totalsRowFormula>
       dataDxfId="217"
    </tableColumn>
  </tableColumns>
  <tableStyleInfo showFirstColumn="0" showLastColumn="0" showRowStripes="1" showColumnStripes="0"/>
</table>
</file>

<file path=xl/tables/table57.xml><?xml version="1.0" encoding="utf-8"?>
<table xmlns="http://schemas.openxmlformats.org/spreadsheetml/2006/main" id="45" name="Submódulo4.159_5411046" displayName="Submódulo4.159_5411046" ref="A91:D98" totalsRowCount="1">
  <autoFilter ref="A91:D97"/>
  <tableColumns count="4">
    <tableColumn id="1" name="4.1" totalsRowLabel="Total" dataDxfId="218"/>
    <tableColumn id="2" name="Substituto nas Ausências Legais" dataDxfId="219"/>
    <tableColumn id="3" name="Percentual" totalsRowFunction="custom">
      <totalsRowFormula>SUM(C92:C97)</totalsRowFormula>
       dataDxfId="220"
    </tableColumn>
    <tableColumn id="4" name="Valor" totalsRowFunction="custom">
      <totalsRowFormula>TRUNC((SUM(D92:D97)),2)</totalsRowFormula>
       dataDxfId="221"
    </tableColumn>
  </tableColumns>
  <tableStyleInfo showFirstColumn="0" showLastColumn="0" showRowStripes="1" showColumnStripes="0"/>
</table>
</file>

<file path=xl/tables/table58.xml><?xml version="1.0" encoding="utf-8"?>
<table xmlns="http://schemas.openxmlformats.org/spreadsheetml/2006/main" id="46" name="Módulo153_5210947" displayName="Módulo153_5210947" ref="A24:D31" totalsRowCount="1">
  <autoFilter ref="A24:D30"/>
  <tableColumns count="4">
    <tableColumn id="1" name="1" totalsRowLabel="Total" dataDxfId="222"/>
    <tableColumn id="2" name="Composição da Remuneração" dataDxfId="223"/>
    <tableColumn id="3" name="Comentário" dataDxfId="224"/>
    <tableColumn id="4" name="Valor" totalsRowFunction="custom">
      <totalsRowFormula>TRUNC((SUM(D25:D30)),2)</totalsRowFormula>
       dataDxfId="225"
    </tableColumn>
  </tableColumns>
  <tableStyleInfo showFirstColumn="0" showLastColumn="0" showRowStripes="1" showColumnStripes="0"/>
</table>
</file>

<file path=xl/tables/table59.xml><?xml version="1.0" encoding="utf-8"?>
<table xmlns="http://schemas.openxmlformats.org/spreadsheetml/2006/main" id="47" name="Submódulo2.356_5311248" displayName="Submódulo2.356_5311248" ref="A58:D65" totalsRowCount="1">
  <autoFilter ref="A58:D64"/>
  <tableColumns count="4">
    <tableColumn id="1" name="2.3" totalsRowLabel="Total" dataDxfId="226"/>
    <tableColumn id="2" name="Benefícios Mensais e Diários" dataDxfId="227"/>
    <tableColumn id="3" name="Comentário" dataDxfId="228"/>
    <tableColumn id="4" name="Valor" totalsRowFunction="custom">
      <totalsRowFormula>TRUNC((SUM(D59:D64)),2)</totalsRowFormula>
       dataDxfId="229"
    </tableColumn>
  </tableColumns>
  <tableStyleInfo showFirstColumn="0" showLastColumn="0" showRowStripes="1" showColumnStripes="0"/>
</table>
</file>

<file path=xl/tables/table6.xml><?xml version="1.0" encoding="utf-8"?>
<table xmlns="http://schemas.openxmlformats.org/spreadsheetml/2006/main" id="8" name="Módulo5" displayName="Módulo5" ref="A114:D119" totalsRowCount="1">
  <autoFilter ref="A114:D118"/>
  <tableColumns count="4">
    <tableColumn id="1" name="5" dataDxfId="14"/>
    <tableColumn id="2" name="Insumos Diversos" dataDxfId="15"/>
    <tableColumn id="3" name="Comentário" dataDxfId="16"/>
    <tableColumn id="4" name="Valor" dataDxfId="17"/>
  </tableColumns>
  <tableStyleInfo showFirstColumn="0" showLastColumn="0" showRowStripes="1" showColumnStripes="0"/>
</table>
</file>

<file path=xl/tables/table60.xml><?xml version="1.0" encoding="utf-8"?>
<table xmlns="http://schemas.openxmlformats.org/spreadsheetml/2006/main" id="48" name="Table452_5610649" displayName="Table452_5610649" ref="A16:D21" totalsRowShown="0">
  <tableColumns count="4">
    <tableColumn id="1" name="Item" dataDxfId="230"/>
    <tableColumn id="2" name="Descrição" dataDxfId="231"/>
    <tableColumn id="3" name="Comentário" dataDxfId="232"/>
    <tableColumn id="4" name="Valor" dataDxfId="233"/>
  </tableColumns>
  <tableStyleInfo showFirstColumn="0" showLastColumn="0" showRowStripes="1" showColumnStripes="0"/>
</table>
</file>

<file path=xl/tables/table61.xml><?xml version="1.0" encoding="utf-8"?>
<table xmlns="http://schemas.openxmlformats.org/spreadsheetml/2006/main" id="49" name="ResumoPosto64_6410850" displayName="ResumoPosto64_6410850" ref="A139:D147" totalsRowShown="0">
  <autoFilter ref="A139:D147"/>
  <tableColumns count="4">
    <tableColumn id="1" name="Item" dataDxfId="234"/>
    <tableColumn id="2" name="Mão de obra vinculada à execução contratual" dataDxfId="235"/>
    <tableColumn id="3" name="-" dataDxfId="236"/>
    <tableColumn id="4" name="Valor" dataDxfId="237"/>
  </tableColumns>
  <tableStyleInfo showFirstColumn="0" showLastColumn="0" showRowStripes="1" showColumnStripes="0"/>
</table>
</file>

<file path=xl/tables/table62.xml><?xml version="1.0" encoding="utf-8"?>
<table xmlns="http://schemas.openxmlformats.org/spreadsheetml/2006/main" id="50" name="Módulo358_5710451" displayName="Módulo358_5710451" ref="A75:D82" totalsRowCount="1">
  <autoFilter ref="A75:D81"/>
  <tableColumns count="4">
    <tableColumn id="1" name="3" totalsRowLabel="Total" dataDxfId="238"/>
    <tableColumn id="2" name="Provisão para Rescisão" dataDxfId="239"/>
    <tableColumn id="3" name="Percentual" totalsRowFunction="custom">
      <totalsRowFormula>SUM(C76:C81)</totalsRowFormula>
       dataDxfId="240"
    </tableColumn>
    <tableColumn id="4" name="Valor" totalsRowFunction="custom">
      <totalsRowFormula>TRUNC((SUM(D76:D81)),2)</totalsRowFormula>
       dataDxfId="241"
    </tableColumn>
  </tableColumns>
  <tableStyleInfo showFirstColumn="0" showLastColumn="0" showRowStripes="1" showColumnStripes="0"/>
</table>
</file>

<file path=xl/tables/table63.xml><?xml version="1.0" encoding="utf-8"?>
<table xmlns="http://schemas.openxmlformats.org/spreadsheetml/2006/main" id="51" name="ResumoMódulo257_6011352" displayName="ResumoMódulo257_6011352" ref="A68:D72" totalsRowCount="1">
  <autoFilter ref="A68:D71"/>
  <tableColumns count="4">
    <tableColumn id="1" name="2" totalsRowLabel="Total" dataDxfId="242"/>
    <tableColumn id="2" name="Encargos e Benefícios Anuais, Mensais e Diários" dataDxfId="243"/>
    <tableColumn id="3" name="Comentário" dataDxfId="244"/>
    <tableColumn id="4" name="Valor" totalsRowFunction="custom">
      <totalsRowFormula>TRUNC((SUM(D69:D71)),2)</totalsRowFormula>
       dataDxfId="245"
    </tableColumn>
  </tableColumns>
  <tableStyleInfo showFirstColumn="0" showLastColumn="0" showRowStripes="1" showColumnStripes="0"/>
</table>
</file>

<file path=xl/tables/table64.xml><?xml version="1.0" encoding="utf-8"?>
<table xmlns="http://schemas.openxmlformats.org/spreadsheetml/2006/main" id="52" name="Submódulo2.255_6311453" displayName="Submódulo2.255_6311453" ref="A46:D55" totalsRowCount="1">
  <autoFilter ref="A46:D54"/>
  <tableColumns count="4">
    <tableColumn id="1" name="2.2" totalsRowLabel="Total" dataDxfId="246"/>
    <tableColumn id="2" name="GPS, FGTS e outras contribuições" dataDxfId="247"/>
    <tableColumn id="3" name="Percentual" totalsRowFunction="custom">
      <totalsRowFormula>SUM(C47:C54)</totalsRowFormula>
       dataDxfId="248"
    </tableColumn>
    <tableColumn id="4" name="Valor " totalsRowFunction="custom">
      <totalsRowFormula>TRUNC(SUM(D47:D54),2)</totalsRowFormula>
       dataDxfId="249"
    </tableColumn>
  </tableColumns>
  <tableStyleInfo showFirstColumn="0" showLastColumn="0" showRowStripes="1" showColumnStripes="0"/>
</table>
</file>

<file path=xl/tables/table65.xml><?xml version="1.0" encoding="utf-8"?>
<table xmlns="http://schemas.openxmlformats.org/spreadsheetml/2006/main" id="53" name="Módulo562_5811654" displayName="Módulo562_5811654" ref="A112:D118" totalsRowCount="1">
  <autoFilter ref="A112:D117"/>
  <tableColumns count="4">
    <tableColumn id="1" name="5" totalsRowLabel="Total" dataDxfId="250"/>
    <tableColumn id="2" name="Insumos Diversos" dataDxfId="251"/>
    <tableColumn id="3" name="Comentário" dataDxfId="252"/>
    <tableColumn id="4" name="Valor" totalsRowFunction="custom">
      <totalsRowFormula>TRUNC(SUM(D113:D117),2)</totalsRowFormula>
       dataDxfId="253"
    </tableColumn>
  </tableColumns>
  <tableStyleInfo showFirstColumn="0" showLastColumn="0" showRowStripes="1" showColumnStripes="0"/>
</table>
</file>

<file path=xl/tables/table66.xml><?xml version="1.0" encoding="utf-8"?>
<table xmlns="http://schemas.openxmlformats.org/spreadsheetml/2006/main" id="54" name="Módulo663_5910555" displayName="Módulo663_5910555" ref="A128:D135" totalsRowCount="1">
  <tableColumns count="4">
    <tableColumn id="1" name="6" totalsRowLabel="Total" dataDxfId="254"/>
    <tableColumn id="2" name="Custos Indiretos, Tributos e Lucro" dataDxfId="255"/>
    <tableColumn id="3" name="Percentual" dataDxfId="256"/>
    <tableColumn id="4" name="Valor" totalsRowFunction="custom">
      <totalsRowFormula>SUM(D129:D131)</totalsRowFormula>
       dataDxfId="257"
    </tableColumn>
  </tableColumns>
  <tableStyleInfo showFirstColumn="0" showLastColumn="0" showRowStripes="1" showColumnStripes="0"/>
</table>
</file>

<file path=xl/tables/table67.xml><?xml version="1.0" encoding="utf-8"?>
<table xmlns="http://schemas.openxmlformats.org/spreadsheetml/2006/main" id="55" name="ResumoMódulo461_6211556" displayName="ResumoMódulo461_6211556" ref="A106:D109" totalsRowCount="1">
  <autoFilter ref="A106:D108"/>
  <tableColumns count="4">
    <tableColumn id="1" name="4" totalsRowLabel="Total" dataDxfId="258"/>
    <tableColumn id="2" name="Custo de Reposição do Profissional Ausente" dataDxfId="259"/>
    <tableColumn id="3" name="Comentário" totalsRowLabel="*Nota: Se o titular USUFRUIR do descanso intrajornada, o total é o somatório dos subitens 4.1 e 4.2" dataDxfId="260"/>
    <tableColumn id="4" name="Valor" totalsRowFunction="custom">
      <totalsRowFormula>TRUNC((SUM(D107:D108)),2)</totalsRowFormula>
       dataDxfId="261"
    </tableColumn>
  </tableColumns>
  <tableStyleInfo showFirstColumn="0" showLastColumn="0" showRowStripes="1" showColumnStripes="0"/>
</table>
</file>

<file path=xl/tables/table68.xml><?xml version="1.0" encoding="utf-8"?>
<table xmlns="http://schemas.openxmlformats.org/spreadsheetml/2006/main" id="56" name="Submódulo4.260_5510757" displayName="Submódulo4.260_5510757" ref="A101:D103" totalsRowCount="1">
  <autoFilter ref="A101:D102"/>
  <tableColumns count="4">
    <tableColumn id="1" name="4.2" totalsRowLabel="Total" dataDxfId="262"/>
    <tableColumn id="2" name="Substituto na Intrajornada " dataDxfId="263"/>
    <tableColumn id="3" name="Comentário" dataDxfId="264"/>
    <tableColumn id="4" name="Valor" totalsRowFunction="custom">
      <totalsRowFormula>D102</totalsRowFormula>
       dataDxfId="265"
    </tableColumn>
  </tableColumns>
  <tableStyleInfo showFirstColumn="0" showLastColumn="0" showRowStripes="1" showColumnStripes="0"/>
</table>
</file>

<file path=xl/tables/table69.xml><?xml version="1.0" encoding="utf-8"?>
<table xmlns="http://schemas.openxmlformats.org/spreadsheetml/2006/main" id="57" name="Submódulo2.154_6111158" displayName="Submódulo2.154_6111158" ref="A36:D39" totalsRowCount="1">
  <autoFilter ref="A36:D38"/>
  <tableColumns count="4">
    <tableColumn id="1" name="2.1" totalsRowLabel="Total" dataDxfId="266"/>
    <tableColumn id="2" name="13º (décimo terceiro) Salário, Férias e Adicional de Férias" dataDxfId="267"/>
    <tableColumn id="3" name="Percentual" dataDxfId="268"/>
    <tableColumn id="4" name="Valor" totalsRowFunction="custom">
      <totalsRowFormula>TRUNC((SUM(D37:D38)),2)</totalsRowFormula>
       dataDxfId="269"
    </tableColumn>
  </tableColumns>
  <tableStyleInfo showFirstColumn="0" showLastColumn="0" showRowStripes="1" showColumnStripes="0"/>
</table>
</file>

<file path=xl/tables/table7.xml><?xml version="1.0" encoding="utf-8"?>
<table xmlns="http://schemas.openxmlformats.org/spreadsheetml/2006/main" id="10" name="Módulo6" displayName="Módulo6" ref="A129:D136" totalsRowCount="1">
  <tableColumns count="4">
    <tableColumn id="1" name="6" dataDxfId="18"/>
    <tableColumn id="2" name="Custos Indiretos, Tributos e Lucro" dataDxfId="19"/>
    <tableColumn id="3" name="Percentual" dataDxfId="20"/>
    <tableColumn id="4" name="Valor" dataDxfId="21"/>
  </tableColumns>
  <tableStyleInfo showFirstColumn="0" showLastColumn="0" showRowStripes="1" showColumnStripes="0"/>
</table>
</file>

<file path=xl/tables/table70.xml><?xml version="1.0" encoding="utf-8"?>
<table xmlns="http://schemas.openxmlformats.org/spreadsheetml/2006/main" id="58" name="Submódulo4.159_5411059" displayName="Submódulo4.159_5411059" ref="A91:D98" totalsRowCount="1">
  <autoFilter ref="A91:D97"/>
  <tableColumns count="4">
    <tableColumn id="1" name="4.1" totalsRowLabel="Total" dataDxfId="270"/>
    <tableColumn id="2" name="Substituto nas Ausências Legais" dataDxfId="271"/>
    <tableColumn id="3" name="Percentual" totalsRowFunction="custom">
      <totalsRowFormula>SUM(C92:C97)</totalsRowFormula>
       dataDxfId="272"
    </tableColumn>
    <tableColumn id="4" name="Valor" totalsRowFunction="custom">
      <totalsRowFormula>TRUNC((SUM(D92:D97)),2)</totalsRowFormula>
       dataDxfId="273"
    </tableColumn>
  </tableColumns>
  <tableStyleInfo showFirstColumn="0" showLastColumn="0" showRowStripes="1" showColumnStripes="0"/>
</table>
</file>

<file path=xl/tables/table71.xml><?xml version="1.0" encoding="utf-8"?>
<table xmlns="http://schemas.openxmlformats.org/spreadsheetml/2006/main" id="59" name="Módulo153_5210960" displayName="Módulo153_5210960" ref="A24:D31" totalsRowCount="1">
  <autoFilter ref="A24:D30"/>
  <tableColumns count="4">
    <tableColumn id="1" name="1" totalsRowLabel="Total" dataDxfId="274"/>
    <tableColumn id="2" name="Composição da Remuneração" dataDxfId="275"/>
    <tableColumn id="3" name="Comentário" dataDxfId="276"/>
    <tableColumn id="4" name="Valor" totalsRowFunction="custom">
      <totalsRowFormula>TRUNC((SUM(D25:D30)),2)</totalsRowFormula>
       dataDxfId="277"
    </tableColumn>
  </tableColumns>
  <tableStyleInfo showFirstColumn="0" showLastColumn="0" showRowStripes="1" showColumnStripes="0"/>
</table>
</file>

<file path=xl/tables/table72.xml><?xml version="1.0" encoding="utf-8"?>
<table xmlns="http://schemas.openxmlformats.org/spreadsheetml/2006/main" id="60" name="Submódulo2.356_5311261" displayName="Submódulo2.356_5311261" ref="A58:D65" totalsRowCount="1">
  <autoFilter ref="A58:D64"/>
  <tableColumns count="4">
    <tableColumn id="1" name="2.3" totalsRowLabel="Total" dataDxfId="278"/>
    <tableColumn id="2" name="Benefícios Mensais e Diários" dataDxfId="279"/>
    <tableColumn id="3" name="Comentário" dataDxfId="280"/>
    <tableColumn id="4" name="Valor" totalsRowFunction="custom">
      <totalsRowFormula>TRUNC((SUM(D59:D64)),2)</totalsRowFormula>
       dataDxfId="281"
    </tableColumn>
  </tableColumns>
  <tableStyleInfo showFirstColumn="0" showLastColumn="0" showRowStripes="1" showColumnStripes="0"/>
</table>
</file>

<file path=xl/tables/table73.xml><?xml version="1.0" encoding="utf-8"?>
<table xmlns="http://schemas.openxmlformats.org/spreadsheetml/2006/main" id="61" name="Table452_5610662" displayName="Table452_5610662" ref="A16:D21" totalsRowShown="0">
  <tableColumns count="4">
    <tableColumn id="1" name="Item" dataDxfId="282"/>
    <tableColumn id="2" name="Descrição" dataDxfId="283"/>
    <tableColumn id="3" name="Comentário" dataDxfId="284"/>
    <tableColumn id="4" name="Valor" dataDxfId="285"/>
  </tableColumns>
  <tableStyleInfo showFirstColumn="0" showLastColumn="0" showRowStripes="1" showColumnStripes="0"/>
</table>
</file>

<file path=xl/tables/table74.xml><?xml version="1.0" encoding="utf-8"?>
<table xmlns="http://schemas.openxmlformats.org/spreadsheetml/2006/main" id="62" name="ResumoPosto64_6410863" displayName="ResumoPosto64_6410863" ref="A139:D147" totalsRowShown="0">
  <autoFilter ref="A139:D147"/>
  <tableColumns count="4">
    <tableColumn id="1" name="Item" dataDxfId="286"/>
    <tableColumn id="2" name="Mão de obra vinculada à execução contratual" dataDxfId="287"/>
    <tableColumn id="3" name="-" dataDxfId="288"/>
    <tableColumn id="4" name="Valor" dataDxfId="289"/>
  </tableColumns>
  <tableStyleInfo showFirstColumn="0" showLastColumn="0" showRowStripes="1" showColumnStripes="0"/>
</table>
</file>

<file path=xl/tables/table75.xml><?xml version="1.0" encoding="utf-8"?>
<table xmlns="http://schemas.openxmlformats.org/spreadsheetml/2006/main" id="63" name="Módulo358_5710464" displayName="Módulo358_5710464" ref="A75:D82" totalsRowCount="1">
  <autoFilter ref="A75:D81"/>
  <tableColumns count="4">
    <tableColumn id="1" name="3" totalsRowLabel="Total" dataDxfId="290"/>
    <tableColumn id="2" name="Provisão para Rescisão" dataDxfId="291"/>
    <tableColumn id="3" name="Percentual" totalsRowFunction="custom">
      <totalsRowFormula>SUM(C76:C81)</totalsRowFormula>
       dataDxfId="292"
    </tableColumn>
    <tableColumn id="4" name="Valor" totalsRowFunction="custom">
      <totalsRowFormula>TRUNC((SUM(D76:D81)),2)</totalsRowFormula>
       dataDxfId="293"
    </tableColumn>
  </tableColumns>
  <tableStyleInfo showFirstColumn="0" showLastColumn="0" showRowStripes="1" showColumnStripes="0"/>
</table>
</file>

<file path=xl/tables/table76.xml><?xml version="1.0" encoding="utf-8"?>
<table xmlns="http://schemas.openxmlformats.org/spreadsheetml/2006/main" id="65" name="ResumoMódulo257_6011366" displayName="ResumoMódulo257_6011366" ref="A68:D72" totalsRowCount="1">
  <autoFilter ref="A68:D71"/>
  <tableColumns count="4">
    <tableColumn id="1" name="2" totalsRowLabel="Total" dataDxfId="294"/>
    <tableColumn id="2" name="Encargos e Benefícios Anuais, Mensais e Diários" dataDxfId="295"/>
    <tableColumn id="3" name="Comentário" dataDxfId="296"/>
    <tableColumn id="4" name="Valor" totalsRowFunction="custom">
      <totalsRowFormula>TRUNC((SUM(D69:D71)),2)</totalsRowFormula>
       dataDxfId="297"
    </tableColumn>
  </tableColumns>
  <tableStyleInfo showFirstColumn="0" showLastColumn="0" showRowStripes="1" showColumnStripes="0"/>
</table>
</file>

<file path=xl/tables/table77.xml><?xml version="1.0" encoding="utf-8"?>
<table xmlns="http://schemas.openxmlformats.org/spreadsheetml/2006/main" id="66" name="Submódulo2.255_6311467" displayName="Submódulo2.255_6311467" ref="A46:D55" totalsRowCount="1">
  <autoFilter ref="A46:D54"/>
  <tableColumns count="4">
    <tableColumn id="1" name="2.2" totalsRowLabel="Total" dataDxfId="298"/>
    <tableColumn id="2" name="GPS, FGTS e outras contribuições" dataDxfId="299"/>
    <tableColumn id="3" name="Percentual" totalsRowFunction="custom">
      <totalsRowFormula>SUM(C47:C54)</totalsRowFormula>
       dataDxfId="300"
    </tableColumn>
    <tableColumn id="4" name="Valor " totalsRowFunction="custom">
      <totalsRowFormula>TRUNC(SUM(D47:D54),2)</totalsRowFormula>
       dataDxfId="301"
    </tableColumn>
  </tableColumns>
  <tableStyleInfo showFirstColumn="0" showLastColumn="0" showRowStripes="1" showColumnStripes="0"/>
</table>
</file>

<file path=xl/tables/table78.xml><?xml version="1.0" encoding="utf-8"?>
<table xmlns="http://schemas.openxmlformats.org/spreadsheetml/2006/main" id="67" name="Módulo562_5811668" displayName="Módulo562_5811668" ref="A112:D118" totalsRowCount="1">
  <autoFilter ref="A112:D117"/>
  <tableColumns count="4">
    <tableColumn id="1" name="5" totalsRowLabel="Total" dataDxfId="302"/>
    <tableColumn id="2" name="Insumos Diversos" dataDxfId="303"/>
    <tableColumn id="3" name="Comentário" dataDxfId="304"/>
    <tableColumn id="4" name="Valor" totalsRowFunction="custom">
      <totalsRowFormula>TRUNC(SUM(D113:D117),2)</totalsRowFormula>
       dataDxfId="305"
    </tableColumn>
  </tableColumns>
  <tableStyleInfo showFirstColumn="0" showLastColumn="0" showRowStripes="1" showColumnStripes="0"/>
</table>
</file>

<file path=xl/tables/table79.xml><?xml version="1.0" encoding="utf-8"?>
<table xmlns="http://schemas.openxmlformats.org/spreadsheetml/2006/main" id="68" name="Módulo663_5910569" displayName="Módulo663_5910569" ref="A128:D135" totalsRowCount="1">
  <tableColumns count="4">
    <tableColumn id="1" name="6" totalsRowLabel="Total" dataDxfId="306"/>
    <tableColumn id="2" name="Custos Indiretos, Tributos e Lucro" dataDxfId="307"/>
    <tableColumn id="3" name="Percentual" dataDxfId="308"/>
    <tableColumn id="4" name="Valor" totalsRowFunction="custom">
      <totalsRowFormula>SUM(D129:D131)</totalsRowFormula>
       dataDxfId="309"
    </tableColumn>
  </tableColumns>
  <tableStyleInfo showFirstColumn="0" showLastColumn="0" showRowStripes="1" showColumnStripes="0"/>
</table>
</file>

<file path=xl/tables/table8.xml><?xml version="1.0" encoding="utf-8"?>
<table xmlns="http://schemas.openxmlformats.org/spreadsheetml/2006/main" id="12" name="ResumoMódulo2" displayName="ResumoMódulo2" ref="A61:D65" totalsRowCount="1">
  <autoFilter ref="A61:D64"/>
  <tableColumns count="4">
    <tableColumn id="1" name="2" dataDxfId="22"/>
    <tableColumn id="2" name="Encargos e Benefícios Anuais, Mensais e Diários" dataDxfId="23"/>
    <tableColumn id="3" name="Comentário" dataDxfId="24"/>
    <tableColumn id="4" name="Valor" dataDxfId="25"/>
  </tableColumns>
  <tableStyleInfo showFirstColumn="0" showLastColumn="0" showRowStripes="1" showColumnStripes="0"/>
</table>
</file>

<file path=xl/tables/table80.xml><?xml version="1.0" encoding="utf-8"?>
<table xmlns="http://schemas.openxmlformats.org/spreadsheetml/2006/main" id="69" name="ResumoMódulo461_6211570" displayName="ResumoMódulo461_6211570" ref="A106:D109" totalsRowCount="1">
  <autoFilter ref="A106:D108"/>
  <tableColumns count="4">
    <tableColumn id="1" name="4" totalsRowLabel="Total" dataDxfId="310"/>
    <tableColumn id="2" name="Custo de Reposição do Profissional Ausente" dataDxfId="311"/>
    <tableColumn id="3" name="Comentário" totalsRowLabel="*Nota: Se o titular USUFRUIR do descanso intrajornada, o total é o somatório dos subitens 4.1 e 4.2" dataDxfId="312"/>
    <tableColumn id="4" name="Valor" totalsRowFunction="custom">
      <totalsRowFormula>TRUNC((SUM(D107:D108)),2)</totalsRowFormula>
       dataDxfId="313"
    </tableColumn>
  </tableColumns>
  <tableStyleInfo showFirstColumn="0" showLastColumn="0" showRowStripes="1" showColumnStripes="0"/>
</table>
</file>

<file path=xl/tables/table81.xml><?xml version="1.0" encoding="utf-8"?>
<table xmlns="http://schemas.openxmlformats.org/spreadsheetml/2006/main" id="70" name="Submódulo4.260_5510771" displayName="Submódulo4.260_5510771" ref="A101:D103" totalsRowCount="1">
  <autoFilter ref="A101:D102"/>
  <tableColumns count="4">
    <tableColumn id="1" name="4.2" totalsRowLabel="Total" dataDxfId="314"/>
    <tableColumn id="2" name="Substituto na Intrajornada " dataDxfId="315"/>
    <tableColumn id="3" name="Comentário" dataDxfId="316"/>
    <tableColumn id="4" name="Valor" totalsRowFunction="custom">
      <totalsRowFormula>D102</totalsRowFormula>
       dataDxfId="317"
    </tableColumn>
  </tableColumns>
  <tableStyleInfo showFirstColumn="0" showLastColumn="0" showRowStripes="1" showColumnStripes="0"/>
</table>
</file>

<file path=xl/tables/table82.xml><?xml version="1.0" encoding="utf-8"?>
<table xmlns="http://schemas.openxmlformats.org/spreadsheetml/2006/main" id="71" name="Submódulo2.154_6111172" displayName="Submódulo2.154_6111172" ref="A36:D39" totalsRowCount="1">
  <autoFilter ref="A36:D38"/>
  <tableColumns count="4">
    <tableColumn id="1" name="2.1" totalsRowLabel="Total" dataDxfId="318"/>
    <tableColumn id="2" name="13º (décimo terceiro) Salário, Férias e Adicional de Férias" dataDxfId="319"/>
    <tableColumn id="3" name="Percentual" dataDxfId="320"/>
    <tableColumn id="4" name="Valor" totalsRowFunction="custom">
      <totalsRowFormula>TRUNC((SUM(D37:D38)),2)</totalsRowFormula>
       dataDxfId="321"
    </tableColumn>
  </tableColumns>
  <tableStyleInfo showFirstColumn="0" showLastColumn="0" showRowStripes="1" showColumnStripes="0"/>
</table>
</file>

<file path=xl/tables/table83.xml><?xml version="1.0" encoding="utf-8"?>
<table xmlns="http://schemas.openxmlformats.org/spreadsheetml/2006/main" id="72" name="Submódulo4.159_5411073" displayName="Submódulo4.159_5411073" ref="A91:D98" totalsRowCount="1">
  <autoFilter ref="A91:D97"/>
  <tableColumns count="4">
    <tableColumn id="1" name="4.1" totalsRowLabel="Total" dataDxfId="322"/>
    <tableColumn id="2" name="Substituto nas Ausências Legais" dataDxfId="323"/>
    <tableColumn id="3" name="Percentual" totalsRowFunction="custom">
      <totalsRowFormula>SUM(C92:C97)</totalsRowFormula>
       dataDxfId="324"
    </tableColumn>
    <tableColumn id="4" name="Valor" totalsRowFunction="custom">
      <totalsRowFormula>TRUNC((SUM(D92:D97)),2)</totalsRowFormula>
       dataDxfId="325"
    </tableColumn>
  </tableColumns>
  <tableStyleInfo showFirstColumn="0" showLastColumn="0" showRowStripes="1" showColumnStripes="0"/>
</table>
</file>

<file path=xl/tables/table84.xml><?xml version="1.0" encoding="utf-8"?>
<table xmlns="http://schemas.openxmlformats.org/spreadsheetml/2006/main" id="73" name="Módulo153_5210974" displayName="Módulo153_5210974" ref="A24:D31" totalsRowCount="1">
  <autoFilter ref="A24:D30"/>
  <tableColumns count="4">
    <tableColumn id="1" name="1" totalsRowLabel="Total" dataDxfId="326"/>
    <tableColumn id="2" name="Composição da Remuneração" dataDxfId="327"/>
    <tableColumn id="3" name="Comentário" dataDxfId="328"/>
    <tableColumn id="4" name="Valor" totalsRowFunction="custom">
      <totalsRowFormula>TRUNC((SUM(D25:D30)),2)</totalsRowFormula>
       dataDxfId="329"
    </tableColumn>
  </tableColumns>
  <tableStyleInfo showFirstColumn="0" showLastColumn="0" showRowStripes="1" showColumnStripes="0"/>
</table>
</file>

<file path=xl/tables/table85.xml><?xml version="1.0" encoding="utf-8"?>
<table xmlns="http://schemas.openxmlformats.org/spreadsheetml/2006/main" id="74" name="Submódulo2.356_5311275" displayName="Submódulo2.356_5311275" ref="A58:D65" totalsRowCount="1">
  <autoFilter ref="A58:D64"/>
  <tableColumns count="4">
    <tableColumn id="1" name="2.3" totalsRowLabel="Total" dataDxfId="330"/>
    <tableColumn id="2" name="Benefícios Mensais e Diários" dataDxfId="331"/>
    <tableColumn id="3" name="Comentário" dataDxfId="332"/>
    <tableColumn id="4" name="Valor" totalsRowFunction="custom">
      <totalsRowFormula>TRUNC((SUM(D59:D64)),2)</totalsRowFormula>
       dataDxfId="333"
    </tableColumn>
  </tableColumns>
  <tableStyleInfo showFirstColumn="0" showLastColumn="0" showRowStripes="1" showColumnStripes="0"/>
</table>
</file>

<file path=xl/tables/table86.xml><?xml version="1.0" encoding="utf-8"?>
<table xmlns="http://schemas.openxmlformats.org/spreadsheetml/2006/main" id="75" name="Table452_5610676" displayName="Table452_5610676" ref="A16:D21" totalsRowShown="0">
  <tableColumns count="4">
    <tableColumn id="1" name="Item" dataDxfId="334"/>
    <tableColumn id="2" name="Descrição" dataDxfId="335"/>
    <tableColumn id="3" name="Comentário" dataDxfId="336"/>
    <tableColumn id="4" name="Valor" dataDxfId="337"/>
  </tableColumns>
  <tableStyleInfo showFirstColumn="0" showLastColumn="0" showRowStripes="1" showColumnStripes="0"/>
</table>
</file>

<file path=xl/tables/table87.xml><?xml version="1.0" encoding="utf-8"?>
<table xmlns="http://schemas.openxmlformats.org/spreadsheetml/2006/main" id="76" name="ResumoPosto64_6410877" displayName="ResumoPosto64_6410877" ref="A139:D147" totalsRowShown="0">
  <autoFilter ref="A139:D147"/>
  <tableColumns count="4">
    <tableColumn id="1" name="Item" dataDxfId="338"/>
    <tableColumn id="2" name="Mão de obra vinculada à execução contratual" dataDxfId="339"/>
    <tableColumn id="3" name="-" dataDxfId="340"/>
    <tableColumn id="4" name="Valor" dataDxfId="341"/>
  </tableColumns>
  <tableStyleInfo showFirstColumn="0" showLastColumn="0" showRowStripes="1" showColumnStripes="0"/>
</table>
</file>

<file path=xl/tables/table88.xml><?xml version="1.0" encoding="utf-8"?>
<table xmlns="http://schemas.openxmlformats.org/spreadsheetml/2006/main" id="77" name="Módulo358_5710478" displayName="Módulo358_5710478" ref="A75:D82" totalsRowCount="1">
  <autoFilter ref="A75:D81"/>
  <tableColumns count="4">
    <tableColumn id="1" name="3" totalsRowLabel="Total" dataDxfId="342"/>
    <tableColumn id="2" name="Provisão para Rescisão" dataDxfId="343"/>
    <tableColumn id="3" name="Percentual" totalsRowFunction="custom">
      <totalsRowFormula>SUM(C76:C81)</totalsRowFormula>
       dataDxfId="344"
    </tableColumn>
    <tableColumn id="4" name="Valor" totalsRowFunction="custom">
      <totalsRowFormula>TRUNC((SUM(D76:D81)),2)</totalsRowFormula>
       dataDxfId="345"
    </tableColumn>
  </tableColumns>
  <tableStyleInfo showFirstColumn="0" showLastColumn="0" showRowStripes="1" showColumnStripes="0"/>
</table>
</file>

<file path=xl/tables/table89.xml><?xml version="1.0" encoding="utf-8"?>
<table xmlns="http://schemas.openxmlformats.org/spreadsheetml/2006/main" id="78" name="ResumoMódulo257_6011379" displayName="ResumoMódulo257_6011379" ref="A68:D72" totalsRowCount="1">
  <autoFilter ref="A68:D71"/>
  <tableColumns count="4">
    <tableColumn id="1" name="2" totalsRowLabel="Total" dataDxfId="346"/>
    <tableColumn id="2" name="Encargos e Benefícios Anuais, Mensais e Diários" dataDxfId="347"/>
    <tableColumn id="3" name="Comentário" dataDxfId="348"/>
    <tableColumn id="4" name="Valor" totalsRowFunction="custom">
      <totalsRowFormula>TRUNC((SUM(D69:D71)),2)</totalsRowFormula>
       dataDxfId="349"
    </tableColumn>
  </tableColumns>
  <tableStyleInfo showFirstColumn="0" showLastColumn="0" showRowStripes="1" showColumnStripes="0"/>
</table>
</file>

<file path=xl/tables/table9.xml><?xml version="1.0" encoding="utf-8"?>
<table xmlns="http://schemas.openxmlformats.org/spreadsheetml/2006/main" id="14" name="ResumoMódulo4" displayName="ResumoMódulo4" ref="A108:D111" totalsRowCount="1">
  <autoFilter ref="A108:D110"/>
  <tableColumns count="4">
    <tableColumn id="1" name="4" dataDxfId="26"/>
    <tableColumn id="2" name="Custo de Reposição do Profissional Ausente" dataDxfId="27"/>
    <tableColumn id="3" name="Comentário" dataDxfId="28"/>
    <tableColumn id="4" name="Valor" dataDxfId="29"/>
  </tableColumns>
  <tableStyleInfo showFirstColumn="0" showLastColumn="0" showRowStripes="1" showColumnStripes="0"/>
</table>
</file>

<file path=xl/tables/table90.xml><?xml version="1.0" encoding="utf-8"?>
<table xmlns="http://schemas.openxmlformats.org/spreadsheetml/2006/main" id="79" name="Submódulo2.255_6311480" displayName="Submódulo2.255_6311480" ref="A46:D55" totalsRowCount="1">
  <autoFilter ref="A46:D54"/>
  <tableColumns count="4">
    <tableColumn id="1" name="2.2" totalsRowLabel="Total" dataDxfId="350"/>
    <tableColumn id="2" name="GPS, FGTS e outras contribuições" dataDxfId="351"/>
    <tableColumn id="3" name="Percentual" totalsRowFunction="custom">
      <totalsRowFormula>SUM(C47:C54)</totalsRowFormula>
       dataDxfId="352"
    </tableColumn>
    <tableColumn id="4" name="Valor " totalsRowFunction="custom">
      <totalsRowFormula>TRUNC(SUM(D47:D54),2)</totalsRowFormula>
       dataDxfId="353"
    </tableColumn>
  </tableColumns>
  <tableStyleInfo showFirstColumn="0" showLastColumn="0" showRowStripes="1" showColumnStripes="0"/>
</table>
</file>

<file path=xl/tables/table91.xml><?xml version="1.0" encoding="utf-8"?>
<table xmlns="http://schemas.openxmlformats.org/spreadsheetml/2006/main" id="80" name="Módulo562_5811681" displayName="Módulo562_5811681" ref="A112:D118" totalsRowCount="1">
  <autoFilter ref="A112:D117"/>
  <tableColumns count="4">
    <tableColumn id="1" name="5" totalsRowLabel="Total" dataDxfId="354"/>
    <tableColumn id="2" name="Insumos Diversos" dataDxfId="355"/>
    <tableColumn id="3" name="Comentário" dataDxfId="356"/>
    <tableColumn id="4" name="Valor" totalsRowFunction="custom">
      <totalsRowFormula>TRUNC(SUM(D113:D117),2)</totalsRowFormula>
       dataDxfId="357"
    </tableColumn>
  </tableColumns>
  <tableStyleInfo showFirstColumn="0" showLastColumn="0" showRowStripes="1" showColumnStripes="0"/>
</table>
</file>

<file path=xl/tables/table92.xml><?xml version="1.0" encoding="utf-8"?>
<table xmlns="http://schemas.openxmlformats.org/spreadsheetml/2006/main" id="81" name="Módulo663_5910582" displayName="Módulo663_5910582" ref="A128:D135" totalsRowCount="1">
  <tableColumns count="4">
    <tableColumn id="1" name="6" totalsRowLabel="Total" dataDxfId="358"/>
    <tableColumn id="2" name="Custos Indiretos, Tributos e Lucro" dataDxfId="359"/>
    <tableColumn id="3" name="Percentual" dataDxfId="360"/>
    <tableColumn id="4" name="Valor" totalsRowFunction="custom">
      <totalsRowFormula>SUM(D129:D131)</totalsRowFormula>
       dataDxfId="361"
    </tableColumn>
  </tableColumns>
  <tableStyleInfo showFirstColumn="0" showLastColumn="0" showRowStripes="1" showColumnStripes="0"/>
</table>
</file>

<file path=xl/tables/table93.xml><?xml version="1.0" encoding="utf-8"?>
<table xmlns="http://schemas.openxmlformats.org/spreadsheetml/2006/main" id="82" name="ResumoMódulo461_6211583" displayName="ResumoMódulo461_6211583" ref="A106:D109" totalsRowCount="1">
  <autoFilter ref="A106:D108"/>
  <tableColumns count="4">
    <tableColumn id="1" name="4" totalsRowLabel="Total" dataDxfId="362"/>
    <tableColumn id="2" name="Custo de Reposição do Profissional Ausente" dataDxfId="363"/>
    <tableColumn id="3" name="Comentário" totalsRowLabel="*Nota: Se o titular USUFRUIR do descanso intrajornada, o total é o somatório dos subitens 4.1 e 4.2" dataDxfId="364"/>
    <tableColumn id="4" name="Valor" totalsRowFunction="custom">
      <totalsRowFormula>TRUNC((SUM(D107:D108)),2)</totalsRowFormula>
       dataDxfId="365"
    </tableColumn>
  </tableColumns>
  <tableStyleInfo showFirstColumn="0" showLastColumn="0" showRowStripes="1" showColumnStripes="0"/>
</table>
</file>

<file path=xl/tables/table94.xml><?xml version="1.0" encoding="utf-8"?>
<table xmlns="http://schemas.openxmlformats.org/spreadsheetml/2006/main" id="83" name="Submódulo4.260_5510784" displayName="Submódulo4.260_5510784" ref="A101:D103" totalsRowCount="1">
  <autoFilter ref="A101:D102"/>
  <tableColumns count="4">
    <tableColumn id="1" name="4.2" totalsRowLabel="Total" dataDxfId="366"/>
    <tableColumn id="2" name="Substituto na Intrajornada " dataDxfId="367"/>
    <tableColumn id="3" name="Comentário" dataDxfId="368"/>
    <tableColumn id="4" name="Valor" totalsRowFunction="custom">
      <totalsRowFormula>D102</totalsRowFormula>
       dataDxfId="369"
    </tableColumn>
  </tableColumns>
  <tableStyleInfo showFirstColumn="0" showLastColumn="0" showRowStripes="1" showColumnStripes="0"/>
</table>
</file>

<file path=xl/tables/table95.xml><?xml version="1.0" encoding="utf-8"?>
<table xmlns="http://schemas.openxmlformats.org/spreadsheetml/2006/main" id="84" name="Submódulo2.154_6111185" displayName="Submódulo2.154_6111185" ref="A36:D39" totalsRowCount="1">
  <autoFilter ref="A36:D38"/>
  <tableColumns count="4">
    <tableColumn id="1" name="2.1" totalsRowLabel="Total" dataDxfId="370"/>
    <tableColumn id="2" name="13º (décimo terceiro) Salário, Férias e Adicional de Férias" dataDxfId="371"/>
    <tableColumn id="3" name="Percentual" dataDxfId="372"/>
    <tableColumn id="4" name="Valor" totalsRowFunction="custom">
      <totalsRowFormula>TRUNC((SUM(D37:D38)),2)</totalsRowFormula>
       dataDxfId="373"
    </tableColumn>
  </tableColumns>
  <tableStyleInfo showFirstColumn="0" showLastColumn="0" showRowStripes="1" showColumnStripes="0"/>
</table>
</file>

<file path=xl/tables/table96.xml><?xml version="1.0" encoding="utf-8"?>
<table xmlns="http://schemas.openxmlformats.org/spreadsheetml/2006/main" id="85" name="Submódulo4.159_5411086" displayName="Submódulo4.159_5411086" ref="A91:D98" totalsRowCount="1">
  <autoFilter ref="A91:D97"/>
  <tableColumns count="4">
    <tableColumn id="1" name="4.1" totalsRowLabel="Total" dataDxfId="374"/>
    <tableColumn id="2" name="Substituto nas Ausências Legais" dataDxfId="375"/>
    <tableColumn id="3" name="Percentual" totalsRowFunction="custom">
      <totalsRowFormula>SUM(C92:C97)</totalsRowFormula>
       dataDxfId="376"
    </tableColumn>
    <tableColumn id="4" name="Valor" totalsRowFunction="custom">
      <totalsRowFormula>TRUNC((SUM(D92:D97)),2)</totalsRowFormula>
       dataDxfId="377"
    </tableColumn>
  </tableColumns>
  <tableStyleInfo showFirstColumn="0" showLastColumn="0" showRowStripes="1" showColumnStripes="0"/>
</table>
</file>

<file path=xl/tables/table97.xml><?xml version="1.0" encoding="utf-8"?>
<table xmlns="http://schemas.openxmlformats.org/spreadsheetml/2006/main" id="86" name="Módulo153_5210987" displayName="Módulo153_5210987" ref="A24:D31" totalsRowCount="1">
  <autoFilter ref="A24:D30"/>
  <tableColumns count="4">
    <tableColumn id="1" name="1" totalsRowLabel="Total" dataDxfId="378"/>
    <tableColumn id="2" name="Composição da Remuneração" dataDxfId="379"/>
    <tableColumn id="3" name="Comentário" dataDxfId="380"/>
    <tableColumn id="4" name="Valor" totalsRowFunction="custom">
      <totalsRowFormula>TRUNC((SUM(D25:D30)),2)</totalsRowFormula>
       dataDxfId="381"
    </tableColumn>
  </tableColumns>
  <tableStyleInfo showFirstColumn="0" showLastColumn="0" showRowStripes="1" showColumnStripes="0"/>
</table>
</file>

<file path=xl/tables/table98.xml><?xml version="1.0" encoding="utf-8"?>
<table xmlns="http://schemas.openxmlformats.org/spreadsheetml/2006/main" id="87" name="Submódulo2.356_5311288" displayName="Submódulo2.356_5311288" ref="A58:D65" totalsRowCount="1">
  <autoFilter ref="A58:D64"/>
  <tableColumns count="4">
    <tableColumn id="1" name="2.3" totalsRowLabel="Total" dataDxfId="382"/>
    <tableColumn id="2" name="Benefícios Mensais e Diários" dataDxfId="383"/>
    <tableColumn id="3" name="Comentário" dataDxfId="384"/>
    <tableColumn id="4" name="Valor" totalsRowFunction="custom">
      <totalsRowFormula>TRUNC((SUM(D59:D64)),2)</totalsRowFormula>
       dataDxfId="385"
    </tableColumn>
  </tableColumns>
  <tableStyleInfo showFirstColumn="0" showLastColumn="0" showRowStripes="1" showColumnStripes="0"/>
</table>
</file>

<file path=xl/tables/table99.xml><?xml version="1.0" encoding="utf-8"?>
<table xmlns="http://schemas.openxmlformats.org/spreadsheetml/2006/main" id="88" name="Table452_5610689" displayName="Table452_5610689" ref="A16:D21" totalsRowShown="0">
  <tableColumns count="4">
    <tableColumn id="1" name="Item" dataDxfId="386"/>
    <tableColumn id="2" name="Descrição" dataDxfId="387"/>
    <tableColumn id="3" name="Comentário" dataDxfId="388"/>
    <tableColumn id="4" name="Valor" dataDxfId="389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02.xml"/></Relationships>
</file>

<file path=xl/worksheets/_rels/sheet2.xml.rels><?xml version="1.0" encoding="UTF-8" standalone="yes"?>
<Relationships xmlns="http://schemas.openxmlformats.org/package/2006/relationships"><Relationship Id="rId9" Type="http://schemas.openxmlformats.org/officeDocument/2006/relationships/table" Target="../tables/table7.xml"/><Relationship Id="rId8" Type="http://schemas.openxmlformats.org/officeDocument/2006/relationships/table" Target="../tables/table6.xml"/><Relationship Id="rId7" Type="http://schemas.openxmlformats.org/officeDocument/2006/relationships/table" Target="../tables/table5.xml"/><Relationship Id="rId6" Type="http://schemas.openxmlformats.org/officeDocument/2006/relationships/table" Target="../tables/table4.xml"/><Relationship Id="rId5" Type="http://schemas.openxmlformats.org/officeDocument/2006/relationships/table" Target="../tables/table3.xml"/><Relationship Id="rId4" Type="http://schemas.openxmlformats.org/officeDocument/2006/relationships/table" Target="../tables/table2.xml"/><Relationship Id="rId3" Type="http://schemas.openxmlformats.org/officeDocument/2006/relationships/table" Target="../tables/table1.xml"/><Relationship Id="rId24" Type="http://schemas.openxmlformats.org/officeDocument/2006/relationships/table" Target="../tables/table22.xml"/><Relationship Id="rId23" Type="http://schemas.openxmlformats.org/officeDocument/2006/relationships/table" Target="../tables/table21.xml"/><Relationship Id="rId22" Type="http://schemas.openxmlformats.org/officeDocument/2006/relationships/table" Target="../tables/table20.xml"/><Relationship Id="rId21" Type="http://schemas.openxmlformats.org/officeDocument/2006/relationships/table" Target="../tables/table19.xml"/><Relationship Id="rId20" Type="http://schemas.openxmlformats.org/officeDocument/2006/relationships/table" Target="../tables/table18.xml"/><Relationship Id="rId2" Type="http://schemas.openxmlformats.org/officeDocument/2006/relationships/vmlDrawing" Target="../drawings/vmlDrawing1.vml"/><Relationship Id="rId19" Type="http://schemas.openxmlformats.org/officeDocument/2006/relationships/table" Target="../tables/table17.xml"/><Relationship Id="rId18" Type="http://schemas.openxmlformats.org/officeDocument/2006/relationships/table" Target="../tables/table16.xml"/><Relationship Id="rId17" Type="http://schemas.openxmlformats.org/officeDocument/2006/relationships/table" Target="../tables/table15.xml"/><Relationship Id="rId16" Type="http://schemas.openxmlformats.org/officeDocument/2006/relationships/table" Target="../tables/table14.xml"/><Relationship Id="rId15" Type="http://schemas.openxmlformats.org/officeDocument/2006/relationships/table" Target="../tables/table13.xml"/><Relationship Id="rId14" Type="http://schemas.openxmlformats.org/officeDocument/2006/relationships/table" Target="../tables/table12.xml"/><Relationship Id="rId13" Type="http://schemas.openxmlformats.org/officeDocument/2006/relationships/table" Target="../tables/table11.xml"/><Relationship Id="rId12" Type="http://schemas.openxmlformats.org/officeDocument/2006/relationships/table" Target="../tables/table10.xml"/><Relationship Id="rId11" Type="http://schemas.openxmlformats.org/officeDocument/2006/relationships/table" Target="../tables/table9.xml"/><Relationship Id="rId10" Type="http://schemas.openxmlformats.org/officeDocument/2006/relationships/table" Target="../tables/table8.xml"/><Relationship Id="rId1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9" Type="http://schemas.openxmlformats.org/officeDocument/2006/relationships/table" Target="../tables/table31.xml"/><Relationship Id="rId8" Type="http://schemas.openxmlformats.org/officeDocument/2006/relationships/table" Target="../tables/table30.xml"/><Relationship Id="rId7" Type="http://schemas.openxmlformats.org/officeDocument/2006/relationships/table" Target="../tables/table29.xml"/><Relationship Id="rId6" Type="http://schemas.openxmlformats.org/officeDocument/2006/relationships/table" Target="../tables/table28.xml"/><Relationship Id="rId5" Type="http://schemas.openxmlformats.org/officeDocument/2006/relationships/table" Target="../tables/table27.xml"/><Relationship Id="rId4" Type="http://schemas.openxmlformats.org/officeDocument/2006/relationships/table" Target="../tables/table26.xml"/><Relationship Id="rId3" Type="http://schemas.openxmlformats.org/officeDocument/2006/relationships/table" Target="../tables/table25.xml"/><Relationship Id="rId2" Type="http://schemas.openxmlformats.org/officeDocument/2006/relationships/table" Target="../tables/table24.xml"/><Relationship Id="rId13" Type="http://schemas.openxmlformats.org/officeDocument/2006/relationships/table" Target="../tables/table35.xml"/><Relationship Id="rId12" Type="http://schemas.openxmlformats.org/officeDocument/2006/relationships/table" Target="../tables/table34.xml"/><Relationship Id="rId11" Type="http://schemas.openxmlformats.org/officeDocument/2006/relationships/table" Target="../tables/table33.xml"/><Relationship Id="rId10" Type="http://schemas.openxmlformats.org/officeDocument/2006/relationships/table" Target="../tables/table32.xml"/><Relationship Id="rId1" Type="http://schemas.openxmlformats.org/officeDocument/2006/relationships/table" Target="../tables/table23.xml"/></Relationships>
</file>

<file path=xl/worksheets/_rels/sheet4.xml.rels><?xml version="1.0" encoding="UTF-8" standalone="yes"?>
<Relationships xmlns="http://schemas.openxmlformats.org/package/2006/relationships"><Relationship Id="rId9" Type="http://schemas.openxmlformats.org/officeDocument/2006/relationships/table" Target="../tables/table44.xml"/><Relationship Id="rId8" Type="http://schemas.openxmlformats.org/officeDocument/2006/relationships/table" Target="../tables/table43.xml"/><Relationship Id="rId7" Type="http://schemas.openxmlformats.org/officeDocument/2006/relationships/table" Target="../tables/table42.xml"/><Relationship Id="rId6" Type="http://schemas.openxmlformats.org/officeDocument/2006/relationships/table" Target="../tables/table41.xml"/><Relationship Id="rId5" Type="http://schemas.openxmlformats.org/officeDocument/2006/relationships/table" Target="../tables/table40.xml"/><Relationship Id="rId4" Type="http://schemas.openxmlformats.org/officeDocument/2006/relationships/table" Target="../tables/table39.xml"/><Relationship Id="rId3" Type="http://schemas.openxmlformats.org/officeDocument/2006/relationships/table" Target="../tables/table38.xml"/><Relationship Id="rId2" Type="http://schemas.openxmlformats.org/officeDocument/2006/relationships/table" Target="../tables/table37.xml"/><Relationship Id="rId13" Type="http://schemas.openxmlformats.org/officeDocument/2006/relationships/table" Target="../tables/table48.xml"/><Relationship Id="rId12" Type="http://schemas.openxmlformats.org/officeDocument/2006/relationships/table" Target="../tables/table47.xml"/><Relationship Id="rId11" Type="http://schemas.openxmlformats.org/officeDocument/2006/relationships/table" Target="../tables/table46.xml"/><Relationship Id="rId10" Type="http://schemas.openxmlformats.org/officeDocument/2006/relationships/table" Target="../tables/table45.xml"/><Relationship Id="rId1" Type="http://schemas.openxmlformats.org/officeDocument/2006/relationships/table" Target="../tables/table36.xml"/></Relationships>
</file>

<file path=xl/worksheets/_rels/sheet5.xml.rels><?xml version="1.0" encoding="UTF-8" standalone="yes"?>
<Relationships xmlns="http://schemas.openxmlformats.org/package/2006/relationships"><Relationship Id="rId9" Type="http://schemas.openxmlformats.org/officeDocument/2006/relationships/table" Target="../tables/table57.xml"/><Relationship Id="rId8" Type="http://schemas.openxmlformats.org/officeDocument/2006/relationships/table" Target="../tables/table56.xml"/><Relationship Id="rId7" Type="http://schemas.openxmlformats.org/officeDocument/2006/relationships/table" Target="../tables/table55.xml"/><Relationship Id="rId6" Type="http://schemas.openxmlformats.org/officeDocument/2006/relationships/table" Target="../tables/table54.xml"/><Relationship Id="rId5" Type="http://schemas.openxmlformats.org/officeDocument/2006/relationships/table" Target="../tables/table53.xml"/><Relationship Id="rId4" Type="http://schemas.openxmlformats.org/officeDocument/2006/relationships/table" Target="../tables/table52.xml"/><Relationship Id="rId3" Type="http://schemas.openxmlformats.org/officeDocument/2006/relationships/table" Target="../tables/table51.xml"/><Relationship Id="rId2" Type="http://schemas.openxmlformats.org/officeDocument/2006/relationships/table" Target="../tables/table50.xml"/><Relationship Id="rId13" Type="http://schemas.openxmlformats.org/officeDocument/2006/relationships/table" Target="../tables/table61.xml"/><Relationship Id="rId12" Type="http://schemas.openxmlformats.org/officeDocument/2006/relationships/table" Target="../tables/table60.xml"/><Relationship Id="rId11" Type="http://schemas.openxmlformats.org/officeDocument/2006/relationships/table" Target="../tables/table59.xml"/><Relationship Id="rId10" Type="http://schemas.openxmlformats.org/officeDocument/2006/relationships/table" Target="../tables/table58.xml"/><Relationship Id="rId1" Type="http://schemas.openxmlformats.org/officeDocument/2006/relationships/table" Target="../tables/table49.xml"/></Relationships>
</file>

<file path=xl/worksheets/_rels/sheet6.xml.rels><?xml version="1.0" encoding="UTF-8" standalone="yes"?>
<Relationships xmlns="http://schemas.openxmlformats.org/package/2006/relationships"><Relationship Id="rId9" Type="http://schemas.openxmlformats.org/officeDocument/2006/relationships/table" Target="../tables/table70.xml"/><Relationship Id="rId8" Type="http://schemas.openxmlformats.org/officeDocument/2006/relationships/table" Target="../tables/table69.xml"/><Relationship Id="rId7" Type="http://schemas.openxmlformats.org/officeDocument/2006/relationships/table" Target="../tables/table68.xml"/><Relationship Id="rId6" Type="http://schemas.openxmlformats.org/officeDocument/2006/relationships/table" Target="../tables/table67.xml"/><Relationship Id="rId5" Type="http://schemas.openxmlformats.org/officeDocument/2006/relationships/table" Target="../tables/table66.xml"/><Relationship Id="rId4" Type="http://schemas.openxmlformats.org/officeDocument/2006/relationships/table" Target="../tables/table65.xml"/><Relationship Id="rId3" Type="http://schemas.openxmlformats.org/officeDocument/2006/relationships/table" Target="../tables/table64.xml"/><Relationship Id="rId2" Type="http://schemas.openxmlformats.org/officeDocument/2006/relationships/table" Target="../tables/table63.xml"/><Relationship Id="rId13" Type="http://schemas.openxmlformats.org/officeDocument/2006/relationships/table" Target="../tables/table74.xml"/><Relationship Id="rId12" Type="http://schemas.openxmlformats.org/officeDocument/2006/relationships/table" Target="../tables/table73.xml"/><Relationship Id="rId11" Type="http://schemas.openxmlformats.org/officeDocument/2006/relationships/table" Target="../tables/table72.xml"/><Relationship Id="rId10" Type="http://schemas.openxmlformats.org/officeDocument/2006/relationships/table" Target="../tables/table71.xml"/><Relationship Id="rId1" Type="http://schemas.openxmlformats.org/officeDocument/2006/relationships/table" Target="../tables/table62.xml"/></Relationships>
</file>

<file path=xl/worksheets/_rels/sheet7.xml.rels><?xml version="1.0" encoding="UTF-8" standalone="yes"?>
<Relationships xmlns="http://schemas.openxmlformats.org/package/2006/relationships"><Relationship Id="rId9" Type="http://schemas.openxmlformats.org/officeDocument/2006/relationships/table" Target="../tables/table83.xml"/><Relationship Id="rId8" Type="http://schemas.openxmlformats.org/officeDocument/2006/relationships/table" Target="../tables/table82.xml"/><Relationship Id="rId7" Type="http://schemas.openxmlformats.org/officeDocument/2006/relationships/table" Target="../tables/table81.xml"/><Relationship Id="rId6" Type="http://schemas.openxmlformats.org/officeDocument/2006/relationships/table" Target="../tables/table80.xml"/><Relationship Id="rId5" Type="http://schemas.openxmlformats.org/officeDocument/2006/relationships/table" Target="../tables/table79.xml"/><Relationship Id="rId4" Type="http://schemas.openxmlformats.org/officeDocument/2006/relationships/table" Target="../tables/table78.xml"/><Relationship Id="rId3" Type="http://schemas.openxmlformats.org/officeDocument/2006/relationships/table" Target="../tables/table77.xml"/><Relationship Id="rId2" Type="http://schemas.openxmlformats.org/officeDocument/2006/relationships/table" Target="../tables/table76.xml"/><Relationship Id="rId13" Type="http://schemas.openxmlformats.org/officeDocument/2006/relationships/table" Target="../tables/table87.xml"/><Relationship Id="rId12" Type="http://schemas.openxmlformats.org/officeDocument/2006/relationships/table" Target="../tables/table86.xml"/><Relationship Id="rId11" Type="http://schemas.openxmlformats.org/officeDocument/2006/relationships/table" Target="../tables/table85.xml"/><Relationship Id="rId10" Type="http://schemas.openxmlformats.org/officeDocument/2006/relationships/table" Target="../tables/table84.xml"/><Relationship Id="rId1" Type="http://schemas.openxmlformats.org/officeDocument/2006/relationships/table" Target="../tables/table75.xml"/></Relationships>
</file>

<file path=xl/worksheets/_rels/sheet8.xml.rels><?xml version="1.0" encoding="UTF-8" standalone="yes"?>
<Relationships xmlns="http://schemas.openxmlformats.org/package/2006/relationships"><Relationship Id="rId9" Type="http://schemas.openxmlformats.org/officeDocument/2006/relationships/table" Target="../tables/table96.xml"/><Relationship Id="rId8" Type="http://schemas.openxmlformats.org/officeDocument/2006/relationships/table" Target="../tables/table95.xml"/><Relationship Id="rId7" Type="http://schemas.openxmlformats.org/officeDocument/2006/relationships/table" Target="../tables/table94.xml"/><Relationship Id="rId6" Type="http://schemas.openxmlformats.org/officeDocument/2006/relationships/table" Target="../tables/table93.xml"/><Relationship Id="rId5" Type="http://schemas.openxmlformats.org/officeDocument/2006/relationships/table" Target="../tables/table92.xml"/><Relationship Id="rId4" Type="http://schemas.openxmlformats.org/officeDocument/2006/relationships/table" Target="../tables/table91.xml"/><Relationship Id="rId3" Type="http://schemas.openxmlformats.org/officeDocument/2006/relationships/table" Target="../tables/table90.xml"/><Relationship Id="rId2" Type="http://schemas.openxmlformats.org/officeDocument/2006/relationships/table" Target="../tables/table89.xml"/><Relationship Id="rId13" Type="http://schemas.openxmlformats.org/officeDocument/2006/relationships/table" Target="../tables/table100.xml"/><Relationship Id="rId12" Type="http://schemas.openxmlformats.org/officeDocument/2006/relationships/table" Target="../tables/table99.xml"/><Relationship Id="rId11" Type="http://schemas.openxmlformats.org/officeDocument/2006/relationships/table" Target="../tables/table98.xml"/><Relationship Id="rId10" Type="http://schemas.openxmlformats.org/officeDocument/2006/relationships/table" Target="../tables/table97.xml"/><Relationship Id="rId1" Type="http://schemas.openxmlformats.org/officeDocument/2006/relationships/table" Target="../tables/table8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0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4"/>
  <sheetViews>
    <sheetView showGridLines="0" workbookViewId="0">
      <selection activeCell="A1" sqref="A1:K1"/>
    </sheetView>
  </sheetViews>
  <sheetFormatPr defaultColWidth="9" defaultRowHeight="15"/>
  <cols>
    <col min="1" max="1025" width="9" customWidth="1"/>
  </cols>
  <sheetData>
    <row r="1" spans="1:11">
      <c r="A1" s="122" t="s">
        <v>0</v>
      </c>
      <c r="B1" s="122"/>
      <c r="C1" s="122"/>
      <c r="D1" s="122"/>
      <c r="E1" s="122"/>
      <c r="F1" s="122"/>
      <c r="G1" s="122"/>
      <c r="H1" s="122"/>
      <c r="I1" s="122"/>
      <c r="J1" s="122"/>
      <c r="K1" s="122"/>
    </row>
    <row r="2" ht="57" customHeight="1" spans="1:11">
      <c r="A2" s="123" t="s">
        <v>1</v>
      </c>
      <c r="B2" s="123"/>
      <c r="C2" s="123"/>
      <c r="D2" s="123"/>
      <c r="E2" s="123"/>
      <c r="F2" s="123"/>
      <c r="G2" s="123"/>
      <c r="H2" s="123"/>
      <c r="I2" s="123"/>
      <c r="J2" s="123"/>
      <c r="K2" s="123"/>
    </row>
    <row r="3" ht="51" customHeight="1" spans="1:11">
      <c r="A3" s="123" t="s">
        <v>2</v>
      </c>
      <c r="B3" s="123"/>
      <c r="C3" s="123"/>
      <c r="D3" s="123"/>
      <c r="E3" s="123"/>
      <c r="F3" s="123"/>
      <c r="G3" s="123"/>
      <c r="H3" s="123"/>
      <c r="I3" s="123"/>
      <c r="J3" s="123"/>
      <c r="K3" s="123"/>
    </row>
    <row r="4" ht="54.75" customHeight="1" spans="1:11">
      <c r="A4" s="123" t="s">
        <v>3</v>
      </c>
      <c r="B4" s="123"/>
      <c r="C4" s="123"/>
      <c r="D4" s="123"/>
      <c r="E4" s="123"/>
      <c r="F4" s="123"/>
      <c r="G4" s="123"/>
      <c r="H4" s="123"/>
      <c r="I4" s="123"/>
      <c r="J4" s="123"/>
      <c r="K4" s="123"/>
    </row>
    <row r="5" ht="67.5" customHeight="1" spans="1:11">
      <c r="A5" s="124" t="s">
        <v>4</v>
      </c>
      <c r="B5" s="124"/>
      <c r="C5" s="124"/>
      <c r="D5" s="124"/>
      <c r="E5" s="124"/>
      <c r="F5" s="124"/>
      <c r="G5" s="124"/>
      <c r="H5" s="124"/>
      <c r="I5" s="124"/>
      <c r="J5" s="124"/>
      <c r="K5" s="124"/>
    </row>
    <row r="6" ht="84.75" customHeight="1" spans="1:11">
      <c r="A6" s="124" t="s">
        <v>5</v>
      </c>
      <c r="B6" s="124"/>
      <c r="C6" s="124"/>
      <c r="D6" s="124"/>
      <c r="E6" s="124"/>
      <c r="F6" s="124"/>
      <c r="G6" s="124"/>
      <c r="H6" s="124"/>
      <c r="I6" s="124"/>
      <c r="J6" s="124"/>
      <c r="K6" s="124"/>
    </row>
    <row r="7" ht="49.5" customHeight="1" spans="1:11">
      <c r="A7" s="124" t="s">
        <v>6</v>
      </c>
      <c r="B7" s="124"/>
      <c r="C7" s="124"/>
      <c r="D7" s="124"/>
      <c r="E7" s="124"/>
      <c r="F7" s="124"/>
      <c r="G7" s="124"/>
      <c r="H7" s="124"/>
      <c r="I7" s="124"/>
      <c r="J7" s="124"/>
      <c r="K7" s="124"/>
    </row>
    <row r="8" ht="38.25" customHeight="1" spans="1:11">
      <c r="A8" s="124" t="s">
        <v>7</v>
      </c>
      <c r="B8" s="124"/>
      <c r="C8" s="124"/>
      <c r="D8" s="124"/>
      <c r="E8" s="124"/>
      <c r="F8" s="124"/>
      <c r="G8" s="124"/>
      <c r="H8" s="124"/>
      <c r="I8" s="124"/>
      <c r="J8" s="124"/>
      <c r="K8" s="124"/>
    </row>
    <row r="9" ht="39.75" customHeight="1" spans="1:11">
      <c r="A9" s="123" t="s">
        <v>8</v>
      </c>
      <c r="B9" s="123"/>
      <c r="C9" s="123"/>
      <c r="D9" s="123"/>
      <c r="E9" s="123"/>
      <c r="F9" s="123"/>
      <c r="G9" s="123"/>
      <c r="H9" s="123"/>
      <c r="I9" s="123"/>
      <c r="J9" s="123"/>
      <c r="K9" s="123"/>
    </row>
    <row r="10" ht="41.25" customHeight="1" spans="1:11">
      <c r="A10" s="123" t="s">
        <v>9</v>
      </c>
      <c r="B10" s="123"/>
      <c r="C10" s="123"/>
      <c r="D10" s="123"/>
      <c r="E10" s="123"/>
      <c r="F10" s="123"/>
      <c r="G10" s="123"/>
      <c r="H10" s="123"/>
      <c r="I10" s="123"/>
      <c r="J10" s="123"/>
      <c r="K10" s="123"/>
    </row>
    <row r="11" ht="41.25" customHeight="1" spans="1:11">
      <c r="A11" s="125" t="s">
        <v>10</v>
      </c>
      <c r="B11" s="125"/>
      <c r="C11" s="125"/>
      <c r="D11" s="125"/>
      <c r="E11" s="125"/>
      <c r="F11" s="125"/>
      <c r="G11" s="125"/>
      <c r="H11" s="125"/>
      <c r="I11" s="125"/>
      <c r="J11" s="125"/>
      <c r="K11" s="125"/>
    </row>
    <row r="12" spans="1:11">
      <c r="A12" s="126" t="s">
        <v>11</v>
      </c>
      <c r="B12" s="126"/>
      <c r="C12" s="126"/>
      <c r="D12" s="126"/>
      <c r="E12" s="126"/>
      <c r="F12" s="126"/>
      <c r="G12" s="126"/>
      <c r="H12" s="126"/>
      <c r="I12" s="126"/>
      <c r="J12" s="126"/>
      <c r="K12" s="126"/>
    </row>
    <row r="13" spans="1:11">
      <c r="A13" s="127" t="s">
        <v>12</v>
      </c>
      <c r="B13" s="127"/>
      <c r="C13" s="127"/>
      <c r="D13" s="127"/>
      <c r="E13" s="127"/>
      <c r="F13" s="127"/>
      <c r="G13" s="127"/>
      <c r="H13" s="127"/>
      <c r="I13" s="127"/>
      <c r="J13" s="127"/>
      <c r="K13" s="127"/>
    </row>
    <row r="14" spans="1:11">
      <c r="A14" s="127" t="s">
        <v>13</v>
      </c>
      <c r="B14" s="127"/>
      <c r="C14" s="127"/>
      <c r="D14" s="127"/>
      <c r="E14" s="127"/>
      <c r="F14" s="127"/>
      <c r="G14" s="127"/>
      <c r="H14" s="127"/>
      <c r="I14" s="127"/>
      <c r="J14" s="127"/>
      <c r="K14" s="127"/>
    </row>
  </sheetData>
  <sheetProtection sheet="1" objects="1" scenarios="1"/>
  <mergeCells count="14">
    <mergeCell ref="A1:K1"/>
    <mergeCell ref="A2:K2"/>
    <mergeCell ref="A3:K3"/>
    <mergeCell ref="A4:K4"/>
    <mergeCell ref="A5:K5"/>
    <mergeCell ref="A6:K6"/>
    <mergeCell ref="A7:K7"/>
    <mergeCell ref="A8:K8"/>
    <mergeCell ref="A9:K9"/>
    <mergeCell ref="A10:K10"/>
    <mergeCell ref="A11:K11"/>
    <mergeCell ref="A12:K12"/>
    <mergeCell ref="A13:K13"/>
    <mergeCell ref="A14:K14"/>
  </mergeCells>
  <pageMargins left="0.7" right="0.7" top="0.75" bottom="0.75" header="0.511805555555555" footer="0.511805555555555"/>
  <pageSetup paperSize="9" firstPageNumber="0" orientation="portrait" useFirstPageNumber="1" horizontalDpi="300" verticalDpi="300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2"/>
  <sheetViews>
    <sheetView tabSelected="1" topLeftCell="A3" workbookViewId="0">
      <selection activeCell="J14" sqref="J14"/>
    </sheetView>
  </sheetViews>
  <sheetFormatPr defaultColWidth="8.88571428571429" defaultRowHeight="15" outlineLevelCol="6"/>
  <cols>
    <col min="2" max="2" width="31" customWidth="1"/>
    <col min="3" max="3" width="9.33333333333333" customWidth="1"/>
    <col min="4" max="4" width="14.2190476190476" customWidth="1"/>
    <col min="5" max="5" width="13.3333333333333" customWidth="1"/>
    <col min="6" max="6" width="14.8857142857143" customWidth="1"/>
    <col min="7" max="7" width="15" customWidth="1"/>
  </cols>
  <sheetData>
    <row r="1" ht="15.75" spans="1:7">
      <c r="A1" s="1" t="s">
        <v>268</v>
      </c>
      <c r="B1" s="2"/>
      <c r="C1" s="2"/>
      <c r="D1" s="2"/>
      <c r="E1" s="2"/>
      <c r="F1" s="2"/>
      <c r="G1" s="3"/>
    </row>
    <row r="2" ht="60.75" spans="1:7">
      <c r="A2" s="4" t="s">
        <v>16</v>
      </c>
      <c r="B2" s="4" t="s">
        <v>17</v>
      </c>
      <c r="C2" s="4" t="s">
        <v>255</v>
      </c>
      <c r="D2" s="4" t="s">
        <v>269</v>
      </c>
      <c r="E2" s="4" t="s">
        <v>270</v>
      </c>
      <c r="F2" s="4" t="s">
        <v>271</v>
      </c>
      <c r="G2" s="4" t="s">
        <v>272</v>
      </c>
    </row>
    <row r="3" ht="90" spans="1:7">
      <c r="A3" s="4">
        <v>23</v>
      </c>
      <c r="B3" s="5" t="s">
        <v>273</v>
      </c>
      <c r="C3" s="4" t="s">
        <v>274</v>
      </c>
      <c r="D3" s="4">
        <v>10</v>
      </c>
      <c r="E3" s="4">
        <v>12</v>
      </c>
      <c r="F3" s="6">
        <f>'Tradutor-Intérprete'!D147</f>
        <v>5942.06</v>
      </c>
      <c r="G3" s="7">
        <f t="shared" ref="G3:G8" si="0">(D3*F3)*(E3)</f>
        <v>713047.2</v>
      </c>
    </row>
    <row r="4" ht="90" spans="1:7">
      <c r="A4" s="8">
        <v>24</v>
      </c>
      <c r="B4" s="9" t="s">
        <v>275</v>
      </c>
      <c r="C4" s="4" t="s">
        <v>274</v>
      </c>
      <c r="D4" s="8">
        <v>1</v>
      </c>
      <c r="E4" s="8">
        <v>12</v>
      </c>
      <c r="F4" s="7">
        <f>'Transcritor Braille'!D147</f>
        <v>4079.47</v>
      </c>
      <c r="G4" s="7">
        <f t="shared" si="0"/>
        <v>48953.64</v>
      </c>
    </row>
    <row r="5" ht="75" spans="1:7">
      <c r="A5" s="4">
        <v>25</v>
      </c>
      <c r="B5" s="5" t="s">
        <v>276</v>
      </c>
      <c r="C5" s="4" t="s">
        <v>274</v>
      </c>
      <c r="D5" s="4">
        <v>3</v>
      </c>
      <c r="E5" s="4">
        <v>12</v>
      </c>
      <c r="F5" s="6">
        <f>Cuidador!D147</f>
        <v>4079.47</v>
      </c>
      <c r="G5" s="7">
        <f t="shared" si="0"/>
        <v>146860.92</v>
      </c>
    </row>
    <row r="6" ht="75" spans="1:7">
      <c r="A6" s="4">
        <v>26</v>
      </c>
      <c r="B6" s="5" t="s">
        <v>277</v>
      </c>
      <c r="C6" s="4" t="s">
        <v>274</v>
      </c>
      <c r="D6" s="4">
        <v>10</v>
      </c>
      <c r="E6" s="4">
        <v>12</v>
      </c>
      <c r="F6" s="6">
        <f>Audiodescritor!D147</f>
        <v>5942.06</v>
      </c>
      <c r="G6" s="7">
        <f t="shared" si="0"/>
        <v>713047.2</v>
      </c>
    </row>
    <row r="7" ht="90" spans="1:7">
      <c r="A7" s="4">
        <v>27</v>
      </c>
      <c r="B7" s="5" t="s">
        <v>278</v>
      </c>
      <c r="C7" s="4" t="s">
        <v>274</v>
      </c>
      <c r="D7" s="4">
        <v>2</v>
      </c>
      <c r="E7" s="4">
        <v>12</v>
      </c>
      <c r="F7" s="6">
        <f>'Alfabetizador EJA'!D147</f>
        <v>5942.06</v>
      </c>
      <c r="G7" s="7">
        <f t="shared" si="0"/>
        <v>142609.44</v>
      </c>
    </row>
    <row r="8" ht="90" spans="1:7">
      <c r="A8" s="8">
        <v>28</v>
      </c>
      <c r="B8" s="9" t="s">
        <v>279</v>
      </c>
      <c r="C8" s="4" t="s">
        <v>274</v>
      </c>
      <c r="D8" s="8">
        <v>3</v>
      </c>
      <c r="E8" s="8">
        <v>12</v>
      </c>
      <c r="F8" s="7">
        <f>Psicopedagogo!D147</f>
        <v>5942.06</v>
      </c>
      <c r="G8" s="7">
        <f t="shared" si="0"/>
        <v>213914.16</v>
      </c>
    </row>
    <row r="9" spans="1:7">
      <c r="A9" s="10" t="s">
        <v>204</v>
      </c>
      <c r="B9" s="10"/>
      <c r="C9" s="10"/>
      <c r="D9" s="10"/>
      <c r="E9" s="10"/>
      <c r="F9" s="10"/>
      <c r="G9" s="11">
        <f>SUM(G3:G8)</f>
        <v>1978432.56</v>
      </c>
    </row>
    <row r="10" spans="1:7">
      <c r="A10" s="12"/>
      <c r="B10" s="12"/>
      <c r="C10" s="12"/>
      <c r="D10" s="12"/>
      <c r="E10" s="12"/>
      <c r="F10" s="12"/>
      <c r="G10" s="12"/>
    </row>
    <row r="11" spans="1:7">
      <c r="A11" s="10"/>
      <c r="B11" s="10"/>
      <c r="C11" s="10"/>
      <c r="D11" s="10"/>
      <c r="E11" s="10"/>
      <c r="F11" s="10"/>
      <c r="G11" s="10"/>
    </row>
    <row r="12" spans="1:7">
      <c r="A12" s="10"/>
      <c r="B12" s="10"/>
      <c r="C12" s="10"/>
      <c r="D12" s="10"/>
      <c r="E12" s="10"/>
      <c r="F12" s="10"/>
      <c r="G12" s="10"/>
    </row>
  </sheetData>
  <mergeCells count="1">
    <mergeCell ref="A1:G1"/>
  </mergeCells>
  <pageMargins left="0.75" right="0.75" top="1" bottom="1" header="0.5" footer="0.5"/>
  <pageSetup paperSize="9" orientation="landscape"/>
  <headerFooter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U148"/>
  <sheetViews>
    <sheetView showGridLines="0" zoomScale="85" zoomScaleNormal="85" workbookViewId="0">
      <selection activeCell="A1" sqref="A1:D1"/>
    </sheetView>
  </sheetViews>
  <sheetFormatPr defaultColWidth="9" defaultRowHeight="15"/>
  <cols>
    <col min="1" max="1" width="12.4190476190476" customWidth="1"/>
    <col min="2" max="2" width="76.4095238095238" customWidth="1"/>
    <col min="3" max="3" width="28.4190476190476" customWidth="1"/>
    <col min="4" max="4" width="27.4190476190476" customWidth="1"/>
    <col min="5" max="5" width="9" customWidth="1"/>
    <col min="6" max="6" width="32.7142857142857" customWidth="1"/>
    <col min="7" max="7" width="13.0190476190476" customWidth="1"/>
    <col min="8" max="1025" width="9" customWidth="1"/>
  </cols>
  <sheetData>
    <row r="1" spans="1:21">
      <c r="A1" s="108" t="s">
        <v>14</v>
      </c>
      <c r="B1" s="108"/>
      <c r="C1" s="108"/>
      <c r="D1" s="108"/>
      <c r="F1" s="55" t="s">
        <v>15</v>
      </c>
      <c r="G1" s="55"/>
      <c r="H1" s="67"/>
      <c r="I1" s="67"/>
      <c r="J1" s="67"/>
      <c r="K1" s="67"/>
      <c r="L1" s="67"/>
      <c r="M1" s="67"/>
      <c r="N1" s="67"/>
      <c r="O1" s="67"/>
      <c r="P1" s="67"/>
      <c r="Q1" s="67"/>
      <c r="R1" s="67"/>
      <c r="S1" s="67"/>
      <c r="T1" s="67"/>
      <c r="U1" s="67"/>
    </row>
    <row r="2" spans="1:21">
      <c r="A2" s="56" t="s">
        <v>16</v>
      </c>
      <c r="B2" t="s">
        <v>17</v>
      </c>
      <c r="C2" s="56" t="s">
        <v>18</v>
      </c>
      <c r="D2" s="56" t="s">
        <v>19</v>
      </c>
      <c r="F2" s="61" t="s">
        <v>17</v>
      </c>
      <c r="G2" s="61" t="s">
        <v>19</v>
      </c>
      <c r="H2" s="67"/>
      <c r="I2" s="67"/>
      <c r="J2" s="67"/>
      <c r="K2" s="67"/>
      <c r="L2" s="67"/>
      <c r="M2" s="67"/>
      <c r="N2" s="67"/>
      <c r="O2" s="67"/>
      <c r="P2" s="67"/>
      <c r="Q2" s="67"/>
      <c r="R2" s="67"/>
      <c r="S2" s="67"/>
      <c r="T2" s="67"/>
      <c r="U2" s="67"/>
    </row>
    <row r="3" spans="1:21">
      <c r="A3" s="56">
        <v>1</v>
      </c>
      <c r="B3" t="s">
        <v>20</v>
      </c>
      <c r="C3" s="56"/>
      <c r="D3" s="56" t="s">
        <v>21</v>
      </c>
      <c r="F3" t="s">
        <v>22</v>
      </c>
      <c r="G3" s="109">
        <v>0</v>
      </c>
      <c r="H3" s="67"/>
      <c r="I3" s="67"/>
      <c r="J3" s="67"/>
      <c r="K3" s="67"/>
      <c r="L3" s="67"/>
      <c r="M3" s="67"/>
      <c r="N3" s="67"/>
      <c r="O3" s="67"/>
      <c r="P3" s="67"/>
      <c r="Q3" s="67"/>
      <c r="R3" s="67"/>
      <c r="S3" s="67"/>
      <c r="T3" s="67"/>
      <c r="U3" s="67"/>
    </row>
    <row r="4" spans="1:21">
      <c r="A4" s="56">
        <v>2</v>
      </c>
      <c r="B4" t="s">
        <v>23</v>
      </c>
      <c r="C4" s="56"/>
      <c r="D4" s="56" t="s">
        <v>24</v>
      </c>
      <c r="F4" t="s">
        <v>25</v>
      </c>
      <c r="G4" s="109">
        <v>12</v>
      </c>
      <c r="H4" s="67"/>
      <c r="I4" s="67"/>
      <c r="J4" s="67"/>
      <c r="K4" s="67"/>
      <c r="L4" s="67"/>
      <c r="M4" s="67"/>
      <c r="N4" s="67"/>
      <c r="O4" s="67"/>
      <c r="P4" s="67"/>
      <c r="Q4" s="67"/>
      <c r="R4" s="67"/>
      <c r="S4" s="67"/>
      <c r="T4" s="67"/>
      <c r="U4" s="67"/>
    </row>
    <row r="5" spans="1:21">
      <c r="A5" s="56">
        <v>3</v>
      </c>
      <c r="B5" t="s">
        <v>26</v>
      </c>
      <c r="C5" s="56" t="s">
        <v>27</v>
      </c>
      <c r="D5" s="110">
        <v>998</v>
      </c>
      <c r="F5" t="s">
        <v>28</v>
      </c>
      <c r="G5" s="57">
        <v>22</v>
      </c>
      <c r="H5" s="67"/>
      <c r="I5" s="67"/>
      <c r="J5" s="67"/>
      <c r="K5" s="67"/>
      <c r="L5" s="67"/>
      <c r="M5" s="67"/>
      <c r="N5" s="67"/>
      <c r="O5" s="67"/>
      <c r="P5" s="67"/>
      <c r="Q5" s="67"/>
      <c r="R5" s="67"/>
      <c r="S5" s="67"/>
      <c r="T5" s="67"/>
      <c r="U5" s="67"/>
    </row>
    <row r="6" spans="1:21">
      <c r="A6" s="56">
        <v>4</v>
      </c>
      <c r="B6" t="s">
        <v>29</v>
      </c>
      <c r="C6" s="56" t="s">
        <v>30</v>
      </c>
      <c r="D6" s="56" t="s">
        <v>31</v>
      </c>
      <c r="F6" t="s">
        <v>32</v>
      </c>
      <c r="G6" s="111">
        <v>0.03</v>
      </c>
      <c r="H6" s="67"/>
      <c r="I6" s="67"/>
      <c r="J6" s="67"/>
      <c r="K6" s="67"/>
      <c r="L6" s="67"/>
      <c r="M6" s="67"/>
      <c r="N6" s="67"/>
      <c r="O6" s="67"/>
      <c r="P6" s="67"/>
      <c r="Q6" s="67"/>
      <c r="R6" s="67"/>
      <c r="S6" s="67"/>
      <c r="T6" s="67"/>
      <c r="U6" s="67"/>
    </row>
    <row r="7" spans="1:21">
      <c r="A7" s="56">
        <v>5</v>
      </c>
      <c r="B7" t="s">
        <v>33</v>
      </c>
      <c r="C7" s="56"/>
      <c r="D7" s="56" t="s">
        <v>34</v>
      </c>
      <c r="H7" s="67"/>
      <c r="I7" s="67"/>
      <c r="J7" s="67"/>
      <c r="K7" s="67"/>
      <c r="L7" s="67"/>
      <c r="M7" s="67"/>
      <c r="N7" s="67"/>
      <c r="O7" s="67"/>
      <c r="P7" s="67"/>
      <c r="Q7" s="67"/>
      <c r="R7" s="67"/>
      <c r="S7" s="67"/>
      <c r="T7" s="67"/>
      <c r="U7" s="67"/>
    </row>
    <row r="8" spans="6:21">
      <c r="F8" s="55" t="s">
        <v>35</v>
      </c>
      <c r="G8" s="55"/>
      <c r="H8" s="67"/>
      <c r="I8" s="67"/>
      <c r="J8" s="67"/>
      <c r="K8" s="67"/>
      <c r="L8" s="67"/>
      <c r="M8" s="67"/>
      <c r="N8" s="67"/>
      <c r="O8" s="67"/>
      <c r="P8" s="67"/>
      <c r="Q8" s="67"/>
      <c r="R8" s="67"/>
      <c r="S8" s="67"/>
      <c r="T8" s="67"/>
      <c r="U8" s="67"/>
    </row>
    <row r="9" spans="1:21">
      <c r="A9" s="39" t="s">
        <v>36</v>
      </c>
      <c r="B9" s="39"/>
      <c r="C9" s="39"/>
      <c r="D9" s="39"/>
      <c r="F9" s="61" t="s">
        <v>37</v>
      </c>
      <c r="G9" s="61" t="s">
        <v>38</v>
      </c>
      <c r="H9" s="67"/>
      <c r="I9" s="67"/>
      <c r="J9" s="67"/>
      <c r="K9" s="67"/>
      <c r="L9" s="67"/>
      <c r="M9" s="67"/>
      <c r="N9" s="67"/>
      <c r="O9" s="67"/>
      <c r="P9" s="67"/>
      <c r="Q9" s="67"/>
      <c r="R9" s="67"/>
      <c r="S9" s="67"/>
      <c r="T9" s="67"/>
      <c r="U9" s="67"/>
    </row>
    <row r="10" spans="1:21">
      <c r="A10" s="56" t="s">
        <v>39</v>
      </c>
      <c r="B10" s="61" t="s">
        <v>40</v>
      </c>
      <c r="C10" s="56" t="s">
        <v>18</v>
      </c>
      <c r="D10" s="56" t="s">
        <v>19</v>
      </c>
      <c r="F10" t="s">
        <v>41</v>
      </c>
      <c r="G10" s="62">
        <v>0.4337</v>
      </c>
      <c r="H10" s="67"/>
      <c r="I10" s="67"/>
      <c r="J10" s="67"/>
      <c r="K10" s="67"/>
      <c r="L10" s="67"/>
      <c r="M10" s="67"/>
      <c r="N10" s="67"/>
      <c r="O10" s="67"/>
      <c r="P10" s="67"/>
      <c r="Q10" s="67"/>
      <c r="R10" s="67"/>
      <c r="S10" s="67"/>
      <c r="T10" s="67"/>
      <c r="U10" s="67"/>
    </row>
    <row r="11" spans="1:21">
      <c r="A11" s="56" t="s">
        <v>42</v>
      </c>
      <c r="B11" t="s">
        <v>43</v>
      </c>
      <c r="C11" s="56"/>
      <c r="D11" s="64">
        <f>Salário_Normativo_da_Categoria_Profissional</f>
        <v>998</v>
      </c>
      <c r="F11" t="s">
        <v>44</v>
      </c>
      <c r="G11" s="62">
        <v>0.4337</v>
      </c>
      <c r="H11" s="67"/>
      <c r="I11" s="67"/>
      <c r="J11" s="67"/>
      <c r="K11" s="67"/>
      <c r="L11" s="67"/>
      <c r="M11" s="67"/>
      <c r="N11" s="67"/>
      <c r="O11" s="67"/>
      <c r="P11" s="67"/>
      <c r="Q11" s="67"/>
      <c r="R11" s="67"/>
      <c r="S11" s="67"/>
      <c r="T11" s="67"/>
      <c r="U11" s="67"/>
    </row>
    <row r="12" spans="1:21">
      <c r="A12" s="56" t="s">
        <v>45</v>
      </c>
      <c r="B12" t="s">
        <v>46</v>
      </c>
      <c r="C12" s="56"/>
      <c r="D12" s="64"/>
      <c r="F12" t="s">
        <v>47</v>
      </c>
      <c r="G12" s="62">
        <v>0.0218</v>
      </c>
      <c r="H12" s="67"/>
      <c r="I12" s="67"/>
      <c r="J12" s="67"/>
      <c r="K12" s="67"/>
      <c r="L12" s="67"/>
      <c r="M12" s="67"/>
      <c r="N12" s="67"/>
      <c r="O12" s="67"/>
      <c r="P12" s="67"/>
      <c r="Q12" s="67"/>
      <c r="R12" s="67"/>
      <c r="S12" s="67"/>
      <c r="T12" s="67"/>
      <c r="U12" s="67"/>
    </row>
    <row r="13" spans="1:21">
      <c r="A13" s="56" t="s">
        <v>48</v>
      </c>
      <c r="B13" t="s">
        <v>49</v>
      </c>
      <c r="C13" s="56"/>
      <c r="D13" s="64"/>
      <c r="H13" s="67"/>
      <c r="I13" s="67"/>
      <c r="J13" s="67"/>
      <c r="K13" s="67"/>
      <c r="L13" s="67"/>
      <c r="M13" s="67"/>
      <c r="N13" s="67"/>
      <c r="O13" s="67"/>
      <c r="P13" s="67"/>
      <c r="Q13" s="67"/>
      <c r="R13" s="67"/>
      <c r="S13" s="67"/>
      <c r="T13" s="67"/>
      <c r="U13" s="67"/>
    </row>
    <row r="14" spans="1:21">
      <c r="A14" s="56" t="s">
        <v>50</v>
      </c>
      <c r="B14" t="s">
        <v>51</v>
      </c>
      <c r="C14" s="56"/>
      <c r="D14" s="64"/>
      <c r="F14" s="55" t="s">
        <v>52</v>
      </c>
      <c r="G14" s="55"/>
      <c r="H14" s="67"/>
      <c r="I14" s="67"/>
      <c r="J14" s="67"/>
      <c r="K14" s="67"/>
      <c r="L14" s="67"/>
      <c r="M14" s="67"/>
      <c r="N14" s="67"/>
      <c r="O14" s="67"/>
      <c r="P14" s="67"/>
      <c r="Q14" s="67"/>
      <c r="R14" s="67"/>
      <c r="S14" s="67"/>
      <c r="T14" s="67"/>
      <c r="U14" s="67"/>
    </row>
    <row r="15" spans="1:21">
      <c r="A15" s="56" t="s">
        <v>53</v>
      </c>
      <c r="B15" t="s">
        <v>54</v>
      </c>
      <c r="C15" s="56"/>
      <c r="D15" s="64"/>
      <c r="F15" s="112" t="s">
        <v>17</v>
      </c>
      <c r="G15" s="112" t="s">
        <v>38</v>
      </c>
      <c r="H15" s="67"/>
      <c r="I15" s="67"/>
      <c r="J15" s="67"/>
      <c r="K15" s="67"/>
      <c r="L15" s="67"/>
      <c r="M15" s="67"/>
      <c r="N15" s="67"/>
      <c r="O15" s="67"/>
      <c r="P15" s="67"/>
      <c r="Q15" s="67"/>
      <c r="R15" s="67"/>
      <c r="S15" s="67"/>
      <c r="T15" s="67"/>
      <c r="U15" s="67"/>
    </row>
    <row r="16" spans="1:21">
      <c r="A16" s="56" t="s">
        <v>55</v>
      </c>
      <c r="B16" t="s">
        <v>56</v>
      </c>
      <c r="C16" s="56"/>
      <c r="D16" s="64"/>
      <c r="F16" s="67" t="s">
        <v>57</v>
      </c>
      <c r="G16" s="113">
        <v>0.0471</v>
      </c>
      <c r="H16" s="67"/>
      <c r="I16" s="67"/>
      <c r="J16" s="67"/>
      <c r="K16" s="67"/>
      <c r="L16" s="67"/>
      <c r="M16" s="67"/>
      <c r="N16" s="67"/>
      <c r="O16" s="67"/>
      <c r="P16" s="67"/>
      <c r="Q16" s="67"/>
      <c r="R16" s="67"/>
      <c r="S16" s="67"/>
      <c r="T16" s="67"/>
      <c r="U16" s="67"/>
    </row>
    <row r="17" spans="1:21">
      <c r="A17" s="56" t="s">
        <v>58</v>
      </c>
      <c r="C17" s="56"/>
      <c r="D17" s="64">
        <f>SUBTOTAL(109,Módulo1[Valor])</f>
        <v>998</v>
      </c>
      <c r="F17" s="67" t="s">
        <v>59</v>
      </c>
      <c r="G17" s="113">
        <v>0.0467</v>
      </c>
      <c r="H17" s="67"/>
      <c r="I17" s="67"/>
      <c r="J17" s="67"/>
      <c r="K17" s="67"/>
      <c r="L17" s="67"/>
      <c r="M17" s="67"/>
      <c r="N17" s="67"/>
      <c r="O17" s="67"/>
      <c r="P17" s="67"/>
      <c r="Q17" s="67"/>
      <c r="R17" s="67"/>
      <c r="S17" s="67"/>
      <c r="T17" s="67"/>
      <c r="U17" s="67"/>
    </row>
    <row r="18" spans="6:21">
      <c r="F18" s="67" t="s">
        <v>60</v>
      </c>
      <c r="G18" s="114">
        <v>0.0165</v>
      </c>
      <c r="H18" s="67"/>
      <c r="I18" s="67"/>
      <c r="J18" s="67"/>
      <c r="K18" s="67"/>
      <c r="L18" s="67"/>
      <c r="M18" s="67"/>
      <c r="N18" s="67"/>
      <c r="O18" s="67"/>
      <c r="P18" s="67"/>
      <c r="Q18" s="67"/>
      <c r="R18" s="67"/>
      <c r="S18" s="67"/>
      <c r="T18" s="67"/>
      <c r="U18" s="67"/>
    </row>
    <row r="19" spans="1:21">
      <c r="A19" s="65" t="s">
        <v>61</v>
      </c>
      <c r="B19" s="65"/>
      <c r="C19" s="65"/>
      <c r="D19" s="65"/>
      <c r="F19" s="67" t="s">
        <v>62</v>
      </c>
      <c r="G19" s="114">
        <v>0.076</v>
      </c>
      <c r="H19" s="67"/>
      <c r="I19" s="67"/>
      <c r="J19" s="67"/>
      <c r="K19" s="67"/>
      <c r="L19" s="67"/>
      <c r="M19" s="67"/>
      <c r="N19" s="67"/>
      <c r="O19" s="67"/>
      <c r="P19" s="67"/>
      <c r="Q19" s="67"/>
      <c r="R19" s="67"/>
      <c r="S19" s="67"/>
      <c r="T19" s="67"/>
      <c r="U19" s="67"/>
    </row>
    <row r="20" spans="1:21">
      <c r="A20" s="55" t="s">
        <v>63</v>
      </c>
      <c r="B20" s="55"/>
      <c r="C20" s="55"/>
      <c r="D20" s="55"/>
      <c r="F20" s="67" t="s">
        <v>64</v>
      </c>
      <c r="G20" s="114">
        <v>0.05</v>
      </c>
      <c r="H20" s="67"/>
      <c r="I20" s="67"/>
      <c r="J20" s="67"/>
      <c r="K20" s="67"/>
      <c r="L20" s="67"/>
      <c r="M20" s="67"/>
      <c r="N20" s="67"/>
      <c r="O20" s="67"/>
      <c r="P20" s="67"/>
      <c r="Q20" s="67"/>
      <c r="R20" s="67"/>
      <c r="S20" s="67"/>
      <c r="T20" s="67"/>
      <c r="U20" s="67"/>
    </row>
    <row r="21" spans="1:21">
      <c r="A21" s="56" t="s">
        <v>65</v>
      </c>
      <c r="B21" s="61" t="s">
        <v>66</v>
      </c>
      <c r="C21" s="56" t="s">
        <v>18</v>
      </c>
      <c r="D21" s="56" t="s">
        <v>19</v>
      </c>
      <c r="F21" s="67"/>
      <c r="G21" s="67"/>
      <c r="H21" s="67"/>
      <c r="I21" s="67"/>
      <c r="J21" s="67"/>
      <c r="K21" s="67"/>
      <c r="L21" s="67"/>
      <c r="M21" s="67"/>
      <c r="N21" s="67"/>
      <c r="O21" s="67"/>
      <c r="P21" s="67"/>
      <c r="Q21" s="67"/>
      <c r="R21" s="67"/>
      <c r="S21" s="67"/>
      <c r="T21" s="67"/>
      <c r="U21" s="67"/>
    </row>
    <row r="22" spans="1:21">
      <c r="A22" s="56" t="s">
        <v>42</v>
      </c>
      <c r="B22" t="s">
        <v>67</v>
      </c>
      <c r="D22" s="64">
        <f>Módulo1[[#Totals],[Valor]]/12</f>
        <v>83.1666666666667</v>
      </c>
      <c r="F22" s="67"/>
      <c r="G22" s="67"/>
      <c r="H22" s="67"/>
      <c r="I22" s="67"/>
      <c r="J22" s="67"/>
      <c r="K22" s="67"/>
      <c r="L22" s="67"/>
      <c r="M22" s="67"/>
      <c r="N22" s="67"/>
      <c r="O22" s="67"/>
      <c r="P22" s="67"/>
      <c r="Q22" s="67"/>
      <c r="R22" s="67"/>
      <c r="S22" s="67"/>
      <c r="T22" s="67"/>
      <c r="U22" s="67"/>
    </row>
    <row r="23" spans="1:21">
      <c r="A23" s="56" t="s">
        <v>45</v>
      </c>
      <c r="B23" t="s">
        <v>68</v>
      </c>
      <c r="D23" s="64">
        <f>(Módulo1[[#Totals],[Valor]]/12)*(1+(1/3))</f>
        <v>110.888888888889</v>
      </c>
      <c r="F23" s="67"/>
      <c r="G23" s="67"/>
      <c r="H23" s="67"/>
      <c r="I23" s="67"/>
      <c r="J23" s="67"/>
      <c r="K23" s="67"/>
      <c r="L23" s="67"/>
      <c r="M23" s="67"/>
      <c r="N23" s="67"/>
      <c r="O23" s="67"/>
      <c r="P23" s="67"/>
      <c r="Q23" s="67"/>
      <c r="R23" s="67"/>
      <c r="S23" s="67"/>
      <c r="T23" s="67"/>
      <c r="U23" s="67"/>
    </row>
    <row r="24" spans="1:21">
      <c r="A24" s="56" t="s">
        <v>58</v>
      </c>
      <c r="D24" s="64">
        <f>SUBTOTAL(109,Submódulo2.1[Valor])</f>
        <v>194.055555555556</v>
      </c>
      <c r="F24" s="67"/>
      <c r="G24" s="67"/>
      <c r="H24" s="67"/>
      <c r="I24" s="67"/>
      <c r="J24" s="67"/>
      <c r="K24" s="67"/>
      <c r="L24" s="67"/>
      <c r="M24" s="67"/>
      <c r="N24" s="67"/>
      <c r="O24" s="67"/>
      <c r="P24" s="67"/>
      <c r="Q24" s="67"/>
      <c r="R24" s="67"/>
      <c r="S24" s="67"/>
      <c r="T24" s="67"/>
      <c r="U24" s="67"/>
    </row>
    <row r="25" spans="1:21">
      <c r="A25" s="56"/>
      <c r="D25" s="64"/>
      <c r="F25" s="67"/>
      <c r="G25" s="67"/>
      <c r="H25" s="67"/>
      <c r="I25" s="67"/>
      <c r="J25" s="67"/>
      <c r="K25" s="67"/>
      <c r="L25" s="67"/>
      <c r="M25" s="67"/>
      <c r="N25" s="67"/>
      <c r="O25" s="67"/>
      <c r="P25" s="67"/>
      <c r="Q25" s="67"/>
      <c r="R25" s="67"/>
      <c r="S25" s="67"/>
      <c r="T25" s="67"/>
      <c r="U25" s="67"/>
    </row>
    <row r="26" spans="1:21">
      <c r="A26" s="115" t="s">
        <v>69</v>
      </c>
      <c r="B26" s="115"/>
      <c r="C26" s="115"/>
      <c r="D26" s="115"/>
      <c r="F26" s="67"/>
      <c r="G26" s="67"/>
      <c r="H26" s="67"/>
      <c r="I26" s="67"/>
      <c r="J26" s="67"/>
      <c r="K26" s="67"/>
      <c r="L26" s="67"/>
      <c r="M26" s="67"/>
      <c r="N26" s="67"/>
      <c r="O26" s="67"/>
      <c r="P26" s="67"/>
      <c r="Q26" s="67"/>
      <c r="R26" s="67"/>
      <c r="S26" s="67"/>
      <c r="T26" s="67"/>
      <c r="U26" s="67"/>
    </row>
    <row r="27" spans="1:21">
      <c r="A27" s="115" t="s">
        <v>16</v>
      </c>
      <c r="B27" s="115" t="s">
        <v>70</v>
      </c>
      <c r="C27" s="115" t="s">
        <v>71</v>
      </c>
      <c r="D27" s="116" t="s">
        <v>72</v>
      </c>
      <c r="F27" s="67"/>
      <c r="G27" s="67"/>
      <c r="H27" s="67"/>
      <c r="I27" s="67"/>
      <c r="J27" s="67"/>
      <c r="K27" s="67"/>
      <c r="L27" s="67"/>
      <c r="M27" s="67"/>
      <c r="N27" s="67"/>
      <c r="O27" s="67"/>
      <c r="P27" s="67"/>
      <c r="Q27" s="67"/>
      <c r="R27" s="67"/>
      <c r="S27" s="67"/>
      <c r="T27" s="67"/>
      <c r="U27" s="67"/>
    </row>
    <row r="28" ht="30" spans="1:21">
      <c r="A28" s="76" t="s">
        <v>42</v>
      </c>
      <c r="B28" s="117" t="s">
        <v>73</v>
      </c>
      <c r="C28" s="118" t="s">
        <v>74</v>
      </c>
      <c r="D28" s="117" t="s">
        <v>75</v>
      </c>
      <c r="F28" s="67"/>
      <c r="G28" s="67"/>
      <c r="H28" s="67"/>
      <c r="I28" s="67"/>
      <c r="J28" s="67"/>
      <c r="K28" s="67"/>
      <c r="L28" s="67"/>
      <c r="M28" s="67"/>
      <c r="N28" s="67"/>
      <c r="O28" s="67"/>
      <c r="P28" s="67"/>
      <c r="Q28" s="67"/>
      <c r="R28" s="67"/>
      <c r="S28" s="67"/>
      <c r="T28" s="67"/>
      <c r="U28" s="67"/>
    </row>
    <row r="29" ht="30" spans="1:21">
      <c r="A29" s="76" t="s">
        <v>45</v>
      </c>
      <c r="B29" s="119" t="s">
        <v>68</v>
      </c>
      <c r="C29" s="118" t="s">
        <v>74</v>
      </c>
      <c r="D29" s="117" t="s">
        <v>76</v>
      </c>
      <c r="F29" s="67"/>
      <c r="G29" s="67"/>
      <c r="H29" s="67"/>
      <c r="I29" s="67"/>
      <c r="J29" s="67"/>
      <c r="K29" s="67"/>
      <c r="L29" s="67"/>
      <c r="M29" s="67"/>
      <c r="N29" s="67"/>
      <c r="O29" s="67"/>
      <c r="P29" s="67"/>
      <c r="Q29" s="67"/>
      <c r="R29" s="67"/>
      <c r="S29" s="67"/>
      <c r="T29" s="67"/>
      <c r="U29" s="67"/>
    </row>
    <row r="30" spans="1:21">
      <c r="A30" s="56"/>
      <c r="B30" s="56"/>
      <c r="C30" s="88"/>
      <c r="F30" s="67"/>
      <c r="G30" s="67"/>
      <c r="H30" s="67"/>
      <c r="I30" s="67"/>
      <c r="J30" s="67"/>
      <c r="K30" s="67"/>
      <c r="L30" s="67"/>
      <c r="M30" s="67"/>
      <c r="N30" s="67"/>
      <c r="O30" s="67"/>
      <c r="P30" s="67"/>
      <c r="Q30" s="67"/>
      <c r="R30" s="67"/>
      <c r="S30" s="67"/>
      <c r="T30" s="67"/>
      <c r="U30" s="67"/>
    </row>
    <row r="31" spans="1:4">
      <c r="A31" s="55" t="s">
        <v>77</v>
      </c>
      <c r="B31" s="55"/>
      <c r="C31" s="55"/>
      <c r="D31" s="55"/>
    </row>
    <row r="32" spans="1:4">
      <c r="A32" s="56" t="s">
        <v>78</v>
      </c>
      <c r="B32" s="61" t="s">
        <v>79</v>
      </c>
      <c r="C32" s="56" t="s">
        <v>38</v>
      </c>
      <c r="D32" s="56" t="s">
        <v>80</v>
      </c>
    </row>
    <row r="33" spans="1:4">
      <c r="A33" s="56" t="s">
        <v>42</v>
      </c>
      <c r="B33" t="s">
        <v>81</v>
      </c>
      <c r="C33" s="66">
        <v>0.2</v>
      </c>
      <c r="D33" s="64">
        <f>C33*(Módulo1[[#Totals],[Valor]]+Submódulo2.1[[#Totals],[Valor]])</f>
        <v>238.411111111111</v>
      </c>
    </row>
    <row r="34" spans="1:4">
      <c r="A34" s="56" t="s">
        <v>45</v>
      </c>
      <c r="B34" t="s">
        <v>82</v>
      </c>
      <c r="C34" s="66">
        <v>0.025</v>
      </c>
      <c r="D34" s="64">
        <f>C34*(Módulo1[[#Totals],[Valor]]+Submódulo2.1[[#Totals],[Valor]])</f>
        <v>29.8013888888889</v>
      </c>
    </row>
    <row r="35" spans="1:4">
      <c r="A35" s="56" t="s">
        <v>48</v>
      </c>
      <c r="B35" t="s">
        <v>83</v>
      </c>
      <c r="C35" s="66">
        <f>Servente!G6</f>
        <v>0.03</v>
      </c>
      <c r="D35" s="64">
        <f>C35*(Módulo1[[#Totals],[Valor]]+Submódulo2.1[[#Totals],[Valor]])</f>
        <v>35.7616666666667</v>
      </c>
    </row>
    <row r="36" spans="1:4">
      <c r="A36" s="56" t="s">
        <v>50</v>
      </c>
      <c r="B36" t="s">
        <v>84</v>
      </c>
      <c r="C36" s="66">
        <v>0.015</v>
      </c>
      <c r="D36" s="64">
        <f>C36*(Módulo1[[#Totals],[Valor]]+Submódulo2.1[[#Totals],[Valor]])</f>
        <v>17.8808333333333</v>
      </c>
    </row>
    <row r="37" spans="1:4">
      <c r="A37" s="56" t="s">
        <v>53</v>
      </c>
      <c r="B37" t="s">
        <v>85</v>
      </c>
      <c r="C37" s="66">
        <v>0.01</v>
      </c>
      <c r="D37" s="64">
        <f>C37*(Módulo1[[#Totals],[Valor]]+Submódulo2.1[[#Totals],[Valor]])</f>
        <v>11.9205555555556</v>
      </c>
    </row>
    <row r="38" spans="1:4">
      <c r="A38" s="56" t="s">
        <v>55</v>
      </c>
      <c r="B38" t="s">
        <v>86</v>
      </c>
      <c r="C38" s="66">
        <v>0.006</v>
      </c>
      <c r="D38" s="64">
        <f>C38*(Módulo1[[#Totals],[Valor]]+Submódulo2.1[[#Totals],[Valor]])</f>
        <v>7.15233333333333</v>
      </c>
    </row>
    <row r="39" spans="1:4">
      <c r="A39" s="56" t="s">
        <v>87</v>
      </c>
      <c r="B39" t="s">
        <v>88</v>
      </c>
      <c r="C39" s="66">
        <v>0.002</v>
      </c>
      <c r="D39" s="64">
        <f>C39*(Módulo1[[#Totals],[Valor]]+Submódulo2.1[[#Totals],[Valor]])</f>
        <v>2.38411111111111</v>
      </c>
    </row>
    <row r="40" spans="1:4">
      <c r="A40" s="56" t="s">
        <v>89</v>
      </c>
      <c r="B40" t="s">
        <v>90</v>
      </c>
      <c r="C40" s="66">
        <v>0.08</v>
      </c>
      <c r="D40" s="64">
        <f>C40*(Módulo1[[#Totals],[Valor]]+Submódulo2.1[[#Totals],[Valor]])</f>
        <v>95.3644444444445</v>
      </c>
    </row>
    <row r="41" spans="1:4">
      <c r="A41" s="56" t="s">
        <v>58</v>
      </c>
      <c r="C41" s="73">
        <f>SUBTOTAL(109,Submódulo2.2[Percentual])</f>
        <v>0.368</v>
      </c>
      <c r="D41" s="64">
        <f>SUBTOTAL(109,Submódulo2.2[Valor ])</f>
        <v>438.676444444444</v>
      </c>
    </row>
    <row r="42" spans="1:4">
      <c r="A42" s="56"/>
      <c r="C42" s="73"/>
      <c r="D42" s="64"/>
    </row>
    <row r="43" spans="1:4">
      <c r="A43" s="115" t="s">
        <v>91</v>
      </c>
      <c r="B43" s="115"/>
      <c r="C43" s="115"/>
      <c r="D43" s="115"/>
    </row>
    <row r="44" spans="1:4">
      <c r="A44" s="115" t="s">
        <v>16</v>
      </c>
      <c r="B44" s="115" t="s">
        <v>70</v>
      </c>
      <c r="C44" s="115" t="s">
        <v>71</v>
      </c>
      <c r="D44" s="116" t="s">
        <v>72</v>
      </c>
    </row>
    <row r="45" ht="30" spans="1:4">
      <c r="A45" s="76" t="s">
        <v>92</v>
      </c>
      <c r="B45" s="117" t="s">
        <v>79</v>
      </c>
      <c r="C45" s="117" t="s">
        <v>93</v>
      </c>
      <c r="D45" s="117" t="s">
        <v>94</v>
      </c>
    </row>
    <row r="47" spans="1:4">
      <c r="A47" s="55" t="s">
        <v>95</v>
      </c>
      <c r="B47" s="55"/>
      <c r="C47" s="55"/>
      <c r="D47" s="55"/>
    </row>
    <row r="48" spans="1:4">
      <c r="A48" s="56" t="s">
        <v>96</v>
      </c>
      <c r="B48" s="61" t="s">
        <v>97</v>
      </c>
      <c r="C48" s="56" t="s">
        <v>18</v>
      </c>
      <c r="D48" s="56" t="s">
        <v>19</v>
      </c>
    </row>
    <row r="49" spans="1:4">
      <c r="A49" s="56" t="s">
        <v>42</v>
      </c>
      <c r="B49" t="s">
        <v>98</v>
      </c>
      <c r="D49" s="64">
        <f>IF(G3=0,0,(Servente!G3*2*Servente!G5)-(6%*_1A))</f>
        <v>0</v>
      </c>
    </row>
    <row r="50" spans="1:4">
      <c r="A50" s="56" t="s">
        <v>45</v>
      </c>
      <c r="B50" t="s">
        <v>99</v>
      </c>
      <c r="D50" s="64">
        <f>(Servente!G4*Servente!G5)*80%</f>
        <v>211.2</v>
      </c>
    </row>
    <row r="51" spans="1:4">
      <c r="A51" s="56" t="s">
        <v>48</v>
      </c>
      <c r="B51" t="s">
        <v>100</v>
      </c>
      <c r="D51" s="64"/>
    </row>
    <row r="52" spans="1:4">
      <c r="A52" s="56" t="s">
        <v>50</v>
      </c>
      <c r="B52" t="s">
        <v>56</v>
      </c>
      <c r="D52" s="64"/>
    </row>
    <row r="53" spans="1:4">
      <c r="A53" s="56" t="s">
        <v>58</v>
      </c>
      <c r="D53" s="64">
        <v>211.2</v>
      </c>
    </row>
    <row r="54" spans="1:4">
      <c r="A54" s="56"/>
      <c r="D54" s="64"/>
    </row>
    <row r="55" spans="1:4">
      <c r="A55" s="115" t="s">
        <v>101</v>
      </c>
      <c r="B55" s="115"/>
      <c r="C55" s="115"/>
      <c r="D55" s="115"/>
    </row>
    <row r="56" spans="1:4">
      <c r="A56" s="115" t="s">
        <v>16</v>
      </c>
      <c r="B56" s="115" t="s">
        <v>70</v>
      </c>
      <c r="C56" s="115" t="s">
        <v>71</v>
      </c>
      <c r="D56" s="115" t="s">
        <v>72</v>
      </c>
    </row>
    <row r="57" ht="45" spans="1:4">
      <c r="A57" s="76" t="s">
        <v>42</v>
      </c>
      <c r="B57" s="117" t="s">
        <v>98</v>
      </c>
      <c r="C57" s="118" t="s">
        <v>102</v>
      </c>
      <c r="D57" s="118" t="s">
        <v>103</v>
      </c>
    </row>
    <row r="58" ht="30" spans="1:4">
      <c r="A58" s="76" t="s">
        <v>45</v>
      </c>
      <c r="B58" s="119" t="s">
        <v>99</v>
      </c>
      <c r="C58" s="118" t="s">
        <v>102</v>
      </c>
      <c r="D58" s="118" t="s">
        <v>104</v>
      </c>
    </row>
    <row r="59" ht="19.5" customHeight="1" spans="1:4">
      <c r="A59" s="56"/>
      <c r="D59" s="64"/>
    </row>
    <row r="60" spans="1:4">
      <c r="A60" s="55" t="s">
        <v>105</v>
      </c>
      <c r="B60" s="55"/>
      <c r="C60" s="55"/>
      <c r="D60" s="55"/>
    </row>
    <row r="61" spans="1:4">
      <c r="A61" s="56" t="s">
        <v>106</v>
      </c>
      <c r="B61" s="61" t="s">
        <v>107</v>
      </c>
      <c r="C61" s="56" t="s">
        <v>18</v>
      </c>
      <c r="D61" s="56" t="s">
        <v>19</v>
      </c>
    </row>
    <row r="62" spans="1:4">
      <c r="A62" s="56" t="s">
        <v>65</v>
      </c>
      <c r="B62" t="s">
        <v>66</v>
      </c>
      <c r="C62" s="56"/>
      <c r="D62" s="64">
        <f>Submódulo2.1[[#Totals],[Valor]]</f>
        <v>194.055555555556</v>
      </c>
    </row>
    <row r="63" spans="1:4">
      <c r="A63" s="56" t="s">
        <v>78</v>
      </c>
      <c r="B63" t="s">
        <v>79</v>
      </c>
      <c r="C63" s="56"/>
      <c r="D63" s="64">
        <f>Submódulo2.2[[#Totals],[Valor ]]</f>
        <v>438.676444444444</v>
      </c>
    </row>
    <row r="64" spans="1:4">
      <c r="A64" s="56" t="s">
        <v>96</v>
      </c>
      <c r="B64" t="s">
        <v>97</v>
      </c>
      <c r="C64" s="56"/>
      <c r="D64" s="64">
        <f>Submódulo2.3[[#Totals],[Valor]]</f>
        <v>211.2</v>
      </c>
    </row>
    <row r="65" spans="1:4">
      <c r="A65" s="56" t="s">
        <v>58</v>
      </c>
      <c r="C65" s="56"/>
      <c r="D65" s="64">
        <v>843.932</v>
      </c>
    </row>
    <row r="67" spans="1:4">
      <c r="A67" s="39" t="s">
        <v>108</v>
      </c>
      <c r="B67" s="39"/>
      <c r="C67" s="39"/>
      <c r="D67" s="39"/>
    </row>
    <row r="68" spans="1:4">
      <c r="A68" s="56" t="s">
        <v>109</v>
      </c>
      <c r="B68" s="61" t="s">
        <v>110</v>
      </c>
      <c r="C68" s="56" t="s">
        <v>18</v>
      </c>
      <c r="D68" s="56" t="s">
        <v>19</v>
      </c>
    </row>
    <row r="69" spans="1:4">
      <c r="A69" s="56" t="s">
        <v>42</v>
      </c>
      <c r="B69" t="s">
        <v>111</v>
      </c>
      <c r="D69" s="64">
        <f>((Módulo1[[#Totals],[Valor]]+D62+D64)/12)*Servente!G10</f>
        <v>50.715994537037</v>
      </c>
    </row>
    <row r="70" spans="1:4">
      <c r="A70" s="56" t="s">
        <v>45</v>
      </c>
      <c r="B70" t="s">
        <v>112</v>
      </c>
      <c r="D70" s="64">
        <f>(D40/12)*Servente!G10</f>
        <v>3.44662996296296</v>
      </c>
    </row>
    <row r="71" spans="1:4">
      <c r="A71" s="56" t="s">
        <v>48</v>
      </c>
      <c r="B71" t="s">
        <v>113</v>
      </c>
      <c r="D71" s="64">
        <f>D40*50%*Servente!G10</f>
        <v>20.6797797777778</v>
      </c>
    </row>
    <row r="72" spans="1:4">
      <c r="A72" s="56" t="s">
        <v>50</v>
      </c>
      <c r="B72" t="s">
        <v>114</v>
      </c>
      <c r="D72" s="64">
        <f>((Módulo1[[#Totals],[Valor]]+ResumoMódulo2[[#Totals],[Valor]])/12)*Servente!G11</f>
        <v>66.5704923666667</v>
      </c>
    </row>
    <row r="73" spans="1:4">
      <c r="A73" s="56" t="s">
        <v>53</v>
      </c>
      <c r="B73" t="s">
        <v>115</v>
      </c>
      <c r="D73" s="64">
        <f>D40*50%*Servente!G11</f>
        <v>20.6797797777778</v>
      </c>
    </row>
    <row r="74" spans="1:4">
      <c r="A74" s="56" t="s">
        <v>55</v>
      </c>
      <c r="B74" t="s">
        <v>116</v>
      </c>
      <c r="D74" s="64">
        <f>-D62*Servente!G12</f>
        <v>-4.23041111111111</v>
      </c>
    </row>
    <row r="75" spans="1:4">
      <c r="A75" s="56" t="s">
        <v>58</v>
      </c>
      <c r="D75" s="64">
        <f>SUBTOTAL(109,Módulo3[Valor])</f>
        <v>157.862265311111</v>
      </c>
    </row>
    <row r="76" spans="1:4">
      <c r="A76" s="56"/>
      <c r="D76" s="64"/>
    </row>
    <row r="77" spans="1:4">
      <c r="A77" s="115" t="s">
        <v>117</v>
      </c>
      <c r="B77" s="115"/>
      <c r="C77" s="115"/>
      <c r="D77" s="115"/>
    </row>
    <row r="78" spans="1:4">
      <c r="A78" s="115" t="s">
        <v>16</v>
      </c>
      <c r="B78" s="115" t="s">
        <v>70</v>
      </c>
      <c r="C78" s="115" t="s">
        <v>71</v>
      </c>
      <c r="D78" s="115" t="s">
        <v>72</v>
      </c>
    </row>
    <row r="79" ht="60" spans="1:4">
      <c r="A79" s="76" t="s">
        <v>42</v>
      </c>
      <c r="B79" s="117" t="s">
        <v>111</v>
      </c>
      <c r="C79" s="118" t="s">
        <v>118</v>
      </c>
      <c r="D79" s="118" t="s">
        <v>119</v>
      </c>
    </row>
    <row r="80" ht="60" spans="1:4">
      <c r="A80" s="76" t="s">
        <v>45</v>
      </c>
      <c r="B80" s="119" t="s">
        <v>112</v>
      </c>
      <c r="C80" s="118" t="s">
        <v>120</v>
      </c>
      <c r="D80" s="118" t="s">
        <v>119</v>
      </c>
    </row>
    <row r="81" ht="75" spans="1:4">
      <c r="A81" s="76" t="s">
        <v>48</v>
      </c>
      <c r="B81" s="119" t="s">
        <v>113</v>
      </c>
      <c r="C81" s="118" t="s">
        <v>120</v>
      </c>
      <c r="D81" s="120" t="s">
        <v>121</v>
      </c>
    </row>
    <row r="82" ht="60" spans="1:4">
      <c r="A82" s="76" t="s">
        <v>50</v>
      </c>
      <c r="B82" s="77" t="s">
        <v>114</v>
      </c>
      <c r="C82" s="118" t="s">
        <v>122</v>
      </c>
      <c r="D82" s="120" t="s">
        <v>123</v>
      </c>
    </row>
    <row r="83" ht="75" spans="1:4">
      <c r="A83" s="76" t="s">
        <v>53</v>
      </c>
      <c r="B83" s="77" t="s">
        <v>115</v>
      </c>
      <c r="C83" s="118" t="s">
        <v>120</v>
      </c>
      <c r="D83" s="120" t="s">
        <v>124</v>
      </c>
    </row>
    <row r="84" ht="60" spans="1:4">
      <c r="A84" s="76" t="s">
        <v>55</v>
      </c>
      <c r="B84" s="77" t="s">
        <v>116</v>
      </c>
      <c r="C84" s="118" t="s">
        <v>125</v>
      </c>
      <c r="D84" s="120" t="s">
        <v>126</v>
      </c>
    </row>
    <row r="86" customHeight="1" spans="1:4">
      <c r="A86" s="86" t="s">
        <v>127</v>
      </c>
      <c r="B86" s="86"/>
      <c r="C86" s="86"/>
      <c r="D86" s="86"/>
    </row>
    <row r="87" spans="1:4">
      <c r="A87" s="55" t="s">
        <v>128</v>
      </c>
      <c r="B87" s="55"/>
      <c r="C87" s="55"/>
      <c r="D87" s="55"/>
    </row>
    <row r="88" spans="1:4">
      <c r="A88" s="56" t="s">
        <v>129</v>
      </c>
      <c r="B88" s="61" t="s">
        <v>130</v>
      </c>
      <c r="C88" s="56" t="s">
        <v>131</v>
      </c>
      <c r="D88" s="56" t="s">
        <v>19</v>
      </c>
    </row>
    <row r="89" spans="1:4">
      <c r="A89" s="56" t="s">
        <v>42</v>
      </c>
      <c r="B89" t="s">
        <v>132</v>
      </c>
      <c r="C89" s="56">
        <v>20.71</v>
      </c>
      <c r="D89" s="64">
        <f>(((Módulo1[[#Totals],[Valor]]+ResumoMódulo2[[#Totals],[Valor]]+Módulo3[[#Totals],[Valor]])/30)*C89)/12</f>
        <v>115.043720096092</v>
      </c>
    </row>
    <row r="90" spans="1:4">
      <c r="A90" s="56" t="s">
        <v>45</v>
      </c>
      <c r="B90" t="s">
        <v>133</v>
      </c>
      <c r="C90" s="56">
        <v>1.4181</v>
      </c>
      <c r="D90" s="64">
        <f>(((Módulo1[[#Totals],[Valor]]+ResumoMódulo2[[#Totals],[Valor]]+Módulo3[[#Totals],[Valor]])/30)*C90)/12</f>
        <v>7.87752291010468</v>
      </c>
    </row>
    <row r="91" spans="1:4">
      <c r="A91" s="56" t="s">
        <v>48</v>
      </c>
      <c r="B91" t="s">
        <v>134</v>
      </c>
      <c r="C91" s="56">
        <v>0.1898</v>
      </c>
      <c r="D91" s="64">
        <f>(((Módulo1[[#Totals],[Valor]]+ResumoMódulo2[[#Totals],[Valor]]+Módulo3[[#Totals],[Valor]])/30)*C91)/12</f>
        <v>1.05433597654458</v>
      </c>
    </row>
    <row r="92" spans="1:4">
      <c r="A92" s="56" t="s">
        <v>50</v>
      </c>
      <c r="B92" t="s">
        <v>135</v>
      </c>
      <c r="C92" s="56">
        <v>0.9545</v>
      </c>
      <c r="D92" s="64">
        <f>(((Módulo1[[#Totals],[Valor]]+ResumoMódulo2[[#Totals],[Valor]]+Módulo3[[#Totals],[Valor]])/30)*C92)/12</f>
        <v>5.3022322951096</v>
      </c>
    </row>
    <row r="93" spans="1:4">
      <c r="A93" s="56" t="s">
        <v>53</v>
      </c>
      <c r="B93" t="s">
        <v>136</v>
      </c>
      <c r="C93" s="56">
        <v>2.4723</v>
      </c>
      <c r="D93" s="64">
        <f>(((Módulo1[[#Totals],[Valor]]+ResumoMódulo2[[#Totals],[Valor]]+Módulo3[[#Totals],[Valor]])/30)*C93)/12</f>
        <v>13.7335871170241</v>
      </c>
    </row>
    <row r="94" spans="1:4">
      <c r="A94" s="56" t="s">
        <v>55</v>
      </c>
      <c r="B94" t="s">
        <v>137</v>
      </c>
      <c r="C94" s="56">
        <v>3.4521</v>
      </c>
      <c r="D94" s="64">
        <f>(((Módulo1[[#Totals],[Valor]]+ResumoMódulo2[[#Totals],[Valor]]+Módulo3[[#Totals],[Valor]])/30)*C94)/12</f>
        <v>19.1763605091125</v>
      </c>
    </row>
    <row r="95" spans="1:4">
      <c r="A95" s="56" t="s">
        <v>58</v>
      </c>
      <c r="C95" s="56">
        <f>SUBTOTAL(109,Submódulo4.1[Dias de ausência])</f>
        <v>29.1968</v>
      </c>
      <c r="D95" s="64">
        <f>SUBTOTAL(109,Submódulo4.1[Valor])</f>
        <v>162.187758903987</v>
      </c>
    </row>
    <row r="96" spans="1:4">
      <c r="A96" s="56"/>
      <c r="C96" s="56"/>
      <c r="D96" s="64"/>
    </row>
    <row r="97" spans="1:4">
      <c r="A97" s="115" t="s">
        <v>138</v>
      </c>
      <c r="B97" s="115"/>
      <c r="C97" s="115"/>
      <c r="D97" s="115"/>
    </row>
    <row r="98" spans="1:4">
      <c r="A98" s="115" t="s">
        <v>16</v>
      </c>
      <c r="B98" s="115" t="s">
        <v>70</v>
      </c>
      <c r="C98" s="115" t="s">
        <v>71</v>
      </c>
      <c r="D98" s="115" t="s">
        <v>72</v>
      </c>
    </row>
    <row r="99" spans="1:4">
      <c r="A99" s="76" t="s">
        <v>139</v>
      </c>
      <c r="B99" s="117" t="s">
        <v>140</v>
      </c>
      <c r="C99" s="118"/>
      <c r="D99" s="118"/>
    </row>
    <row r="100" ht="45" spans="1:4">
      <c r="A100" s="76" t="s">
        <v>139</v>
      </c>
      <c r="B100" s="119" t="s">
        <v>141</v>
      </c>
      <c r="C100" s="118" t="s">
        <v>142</v>
      </c>
      <c r="D100" s="118" t="s">
        <v>143</v>
      </c>
    </row>
    <row r="101" spans="1:4">
      <c r="A101" s="56"/>
      <c r="C101" s="56"/>
      <c r="D101" s="64"/>
    </row>
    <row r="102" spans="1:4">
      <c r="A102" s="55" t="s">
        <v>144</v>
      </c>
      <c r="B102" s="55"/>
      <c r="C102" s="55"/>
      <c r="D102" s="55"/>
    </row>
    <row r="103" spans="1:4">
      <c r="A103" s="56" t="s">
        <v>145</v>
      </c>
      <c r="B103" s="61" t="s">
        <v>146</v>
      </c>
      <c r="C103" s="56" t="s">
        <v>18</v>
      </c>
      <c r="D103" s="56" t="s">
        <v>19</v>
      </c>
    </row>
    <row r="104" spans="1:4">
      <c r="A104" s="56" t="s">
        <v>42</v>
      </c>
      <c r="B104" t="s">
        <v>147</v>
      </c>
      <c r="C104" s="56"/>
      <c r="D104" s="64"/>
    </row>
    <row r="105" spans="1:4">
      <c r="A105" s="56" t="s">
        <v>58</v>
      </c>
      <c r="C105" s="56"/>
      <c r="D105" s="64">
        <f>SUBTOTAL(109,Submódulo4.2[Valor])</f>
        <v>0</v>
      </c>
    </row>
    <row r="107" spans="1:4">
      <c r="A107" s="55" t="s">
        <v>148</v>
      </c>
      <c r="B107" s="55"/>
      <c r="C107" s="55"/>
      <c r="D107" s="55"/>
    </row>
    <row r="108" spans="1:4">
      <c r="A108" s="56" t="s">
        <v>149</v>
      </c>
      <c r="B108" s="61" t="s">
        <v>150</v>
      </c>
      <c r="C108" s="56" t="s">
        <v>18</v>
      </c>
      <c r="D108" s="56" t="s">
        <v>19</v>
      </c>
    </row>
    <row r="109" spans="1:4">
      <c r="A109" s="56" t="s">
        <v>129</v>
      </c>
      <c r="B109" t="s">
        <v>130</v>
      </c>
      <c r="D109" s="64">
        <f>Submódulo4.1[[#Totals],[Valor]]</f>
        <v>162.187758903987</v>
      </c>
    </row>
    <row r="110" spans="1:4">
      <c r="A110" s="56" t="s">
        <v>145</v>
      </c>
      <c r="B110" t="s">
        <v>151</v>
      </c>
      <c r="D110" s="64">
        <f>Submódulo4.2[[#Totals],[Valor]]</f>
        <v>0</v>
      </c>
    </row>
    <row r="111" spans="1:4">
      <c r="A111" s="56" t="s">
        <v>58</v>
      </c>
      <c r="D111" s="64">
        <f>SUBTOTAL(109,ResumoMódulo4[Valor])</f>
        <v>162.187758903987</v>
      </c>
    </row>
    <row r="113" spans="1:4">
      <c r="A113" s="39" t="s">
        <v>152</v>
      </c>
      <c r="B113" s="39"/>
      <c r="C113" s="39"/>
      <c r="D113" s="39"/>
    </row>
    <row r="114" spans="1:4">
      <c r="A114" s="56" t="s">
        <v>153</v>
      </c>
      <c r="B114" s="61" t="s">
        <v>154</v>
      </c>
      <c r="C114" s="56" t="s">
        <v>18</v>
      </c>
      <c r="D114" s="56" t="s">
        <v>19</v>
      </c>
    </row>
    <row r="115" spans="1:4">
      <c r="A115" s="56" t="s">
        <v>42</v>
      </c>
      <c r="B115" t="s">
        <v>155</v>
      </c>
      <c r="D115" s="64" t="e">
        <f>#REF!</f>
        <v>#REF!</v>
      </c>
    </row>
    <row r="116" spans="1:4">
      <c r="A116" s="56" t="s">
        <v>45</v>
      </c>
      <c r="B116" t="s">
        <v>156</v>
      </c>
      <c r="D116" s="64" t="e">
        <f>#REF!/#REF!</f>
        <v>#REF!</v>
      </c>
    </row>
    <row r="117" spans="1:4">
      <c r="A117" s="56" t="s">
        <v>48</v>
      </c>
      <c r="B117" t="s">
        <v>157</v>
      </c>
      <c r="D117" s="64" t="e">
        <f>#REF!/#REF!</f>
        <v>#REF!</v>
      </c>
    </row>
    <row r="118" spans="1:4">
      <c r="A118" s="56" t="s">
        <v>50</v>
      </c>
      <c r="B118" t="s">
        <v>158</v>
      </c>
      <c r="D118" s="64"/>
    </row>
    <row r="119" spans="1:4">
      <c r="A119" s="56" t="s">
        <v>58</v>
      </c>
      <c r="D119" s="64" t="e">
        <f>SUBTOTAL(109,Módulo5[Valor])</f>
        <v>#REF!</v>
      </c>
    </row>
    <row r="120" spans="1:4">
      <c r="A120" s="56"/>
      <c r="D120" s="64"/>
    </row>
    <row r="121" spans="1:4">
      <c r="A121" s="115" t="s">
        <v>159</v>
      </c>
      <c r="B121" s="115"/>
      <c r="C121" s="115"/>
      <c r="D121" s="115"/>
    </row>
    <row r="122" spans="1:4">
      <c r="A122" s="115" t="s">
        <v>16</v>
      </c>
      <c r="B122" s="115" t="s">
        <v>70</v>
      </c>
      <c r="C122" s="115" t="s">
        <v>71</v>
      </c>
      <c r="D122" s="115" t="s">
        <v>72</v>
      </c>
    </row>
    <row r="123" spans="1:4">
      <c r="A123" s="76" t="s">
        <v>42</v>
      </c>
      <c r="B123" s="117" t="s">
        <v>155</v>
      </c>
      <c r="C123" s="118" t="s">
        <v>160</v>
      </c>
      <c r="D123" s="118"/>
    </row>
    <row r="124" ht="30" spans="1:4">
      <c r="A124" s="76" t="s">
        <v>45</v>
      </c>
      <c r="B124" s="119" t="s">
        <v>156</v>
      </c>
      <c r="C124" s="118" t="s">
        <v>161</v>
      </c>
      <c r="D124" s="118" t="s">
        <v>162</v>
      </c>
    </row>
    <row r="125" ht="30" spans="1:4">
      <c r="A125" s="76" t="s">
        <v>48</v>
      </c>
      <c r="B125" s="119" t="s">
        <v>157</v>
      </c>
      <c r="C125" s="118" t="s">
        <v>163</v>
      </c>
      <c r="D125" s="118" t="s">
        <v>162</v>
      </c>
    </row>
    <row r="126" spans="1:4">
      <c r="A126" s="76" t="s">
        <v>50</v>
      </c>
      <c r="B126" s="119" t="s">
        <v>158</v>
      </c>
      <c r="C126" s="118"/>
      <c r="D126" s="118"/>
    </row>
    <row r="128" spans="1:4">
      <c r="A128" s="39" t="s">
        <v>164</v>
      </c>
      <c r="B128" s="39"/>
      <c r="C128" s="39"/>
      <c r="D128" s="39"/>
    </row>
    <row r="129" outlineLevel="1" spans="1:4">
      <c r="A129" s="56" t="s">
        <v>165</v>
      </c>
      <c r="B129" t="s">
        <v>166</v>
      </c>
      <c r="C129" s="56" t="s">
        <v>38</v>
      </c>
      <c r="D129" s="56" t="s">
        <v>19</v>
      </c>
    </row>
    <row r="130" outlineLevel="1" spans="1:4">
      <c r="A130" s="56" t="s">
        <v>42</v>
      </c>
      <c r="B130" t="s">
        <v>167</v>
      </c>
      <c r="C130" s="66">
        <f>G16</f>
        <v>0.0471</v>
      </c>
      <c r="D130" s="64" t="e">
        <f>Módulo6[[#This Row],[Percentual]]*(D141+D142+D143+D144+D145)</f>
        <v>#REF!</v>
      </c>
    </row>
    <row r="131" outlineLevel="1" spans="1:4">
      <c r="A131" s="56" t="s">
        <v>45</v>
      </c>
      <c r="B131" t="s">
        <v>59</v>
      </c>
      <c r="C131" s="66">
        <f>G17</f>
        <v>0.0467</v>
      </c>
      <c r="D131" s="64" t="e">
        <f>(SUM(D141:D145)+D130)*Módulo6[[#This Row],[Percentual]]</f>
        <v>#REF!</v>
      </c>
    </row>
    <row r="132" spans="1:4">
      <c r="A132" s="56" t="s">
        <v>48</v>
      </c>
      <c r="B132" t="s">
        <v>168</v>
      </c>
      <c r="C132" s="66">
        <f>SUM(C133:C135)</f>
        <v>0.1425</v>
      </c>
      <c r="D132" s="64" t="e">
        <f>Módulo6[[#This Row],[Percentual]]*D148</f>
        <v>#REF!</v>
      </c>
    </row>
    <row r="133" spans="1:4">
      <c r="A133" s="56" t="s">
        <v>169</v>
      </c>
      <c r="B133" t="s">
        <v>60</v>
      </c>
      <c r="C133" s="66">
        <f>G18</f>
        <v>0.0165</v>
      </c>
      <c r="D133" s="64" t="e">
        <f>Módulo6[[#This Row],[Percentual]]*D148</f>
        <v>#REF!</v>
      </c>
    </row>
    <row r="134" spans="1:4">
      <c r="A134" s="56" t="s">
        <v>170</v>
      </c>
      <c r="B134" t="s">
        <v>62</v>
      </c>
      <c r="C134" s="66">
        <f>G19</f>
        <v>0.076</v>
      </c>
      <c r="D134" s="64" t="e">
        <f>Módulo6[[#This Row],[Percentual]]*D148</f>
        <v>#REF!</v>
      </c>
    </row>
    <row r="135" spans="1:4">
      <c r="A135" s="56" t="s">
        <v>171</v>
      </c>
      <c r="B135" t="s">
        <v>64</v>
      </c>
      <c r="C135" s="66">
        <f>G20</f>
        <v>0.05</v>
      </c>
      <c r="D135" s="64" t="e">
        <f>Módulo6[[#This Row],[Percentual]]*D148</f>
        <v>#REF!</v>
      </c>
    </row>
    <row r="136" spans="1:4">
      <c r="A136" s="56" t="s">
        <v>58</v>
      </c>
      <c r="C136" s="103"/>
      <c r="D136" s="64" t="e">
        <f>SUM(D130:D132)</f>
        <v>#REF!</v>
      </c>
    </row>
    <row r="137" spans="1:4">
      <c r="A137" s="56"/>
      <c r="C137" s="103"/>
      <c r="D137" s="64"/>
    </row>
    <row r="139" spans="1:4">
      <c r="A139" s="39" t="s">
        <v>172</v>
      </c>
      <c r="B139" s="39"/>
      <c r="C139" s="39"/>
      <c r="D139" s="39"/>
    </row>
    <row r="140" spans="1:4">
      <c r="A140" s="56" t="s">
        <v>16</v>
      </c>
      <c r="B140" s="56" t="s">
        <v>173</v>
      </c>
      <c r="C140" s="56" t="s">
        <v>102</v>
      </c>
      <c r="D140" s="56" t="s">
        <v>19</v>
      </c>
    </row>
    <row r="141" spans="1:4">
      <c r="A141" s="56" t="s">
        <v>42</v>
      </c>
      <c r="B141" t="s">
        <v>36</v>
      </c>
      <c r="D141" s="64">
        <f>Módulo1[[#Totals],[Valor]]</f>
        <v>998</v>
      </c>
    </row>
    <row r="142" spans="1:4">
      <c r="A142" s="56" t="s">
        <v>45</v>
      </c>
      <c r="B142" t="s">
        <v>61</v>
      </c>
      <c r="D142" s="64">
        <f>ResumoMódulo2[[#Totals],[Valor]]</f>
        <v>843.932</v>
      </c>
    </row>
    <row r="143" spans="1:4">
      <c r="A143" s="56" t="s">
        <v>48</v>
      </c>
      <c r="B143" t="s">
        <v>108</v>
      </c>
      <c r="D143" s="64">
        <f>Módulo3[[#Totals],[Valor]]</f>
        <v>157.862265311111</v>
      </c>
    </row>
    <row r="144" spans="1:4">
      <c r="A144" s="56" t="s">
        <v>50</v>
      </c>
      <c r="B144" t="s">
        <v>174</v>
      </c>
      <c r="D144" s="64">
        <f>ResumoMódulo4[[#Totals],[Valor]]</f>
        <v>162.187758903987</v>
      </c>
    </row>
    <row r="145" spans="1:4">
      <c r="A145" s="56" t="s">
        <v>53</v>
      </c>
      <c r="B145" t="s">
        <v>152</v>
      </c>
      <c r="D145" s="64" t="e">
        <f>Módulo5[[#Totals],[Valor]]</f>
        <v>#REF!</v>
      </c>
    </row>
    <row r="146" spans="1:4">
      <c r="A146" t="s">
        <v>175</v>
      </c>
      <c r="D146" s="64" t="e">
        <f>SUM(D141:D145)</f>
        <v>#REF!</v>
      </c>
    </row>
    <row r="147" spans="1:4">
      <c r="A147" s="56" t="s">
        <v>55</v>
      </c>
      <c r="B147" t="s">
        <v>164</v>
      </c>
      <c r="D147" s="64" t="e">
        <f>Módulo6[[#Totals],[Valor]]</f>
        <v>#REF!</v>
      </c>
    </row>
    <row r="148" spans="1:4">
      <c r="A148" s="105" t="s">
        <v>176</v>
      </c>
      <c r="B148" s="105"/>
      <c r="C148" s="105"/>
      <c r="D148" s="121" t="e">
        <f>(SUM(D141:D145)+D130+D131)/(100%-C132)</f>
        <v>#REF!</v>
      </c>
    </row>
  </sheetData>
  <mergeCells count="24">
    <mergeCell ref="A1:D1"/>
    <mergeCell ref="F1:G1"/>
    <mergeCell ref="F8:G8"/>
    <mergeCell ref="A9:D9"/>
    <mergeCell ref="F14:G14"/>
    <mergeCell ref="A19:D19"/>
    <mergeCell ref="A20:D20"/>
    <mergeCell ref="A26:D26"/>
    <mergeCell ref="A31:D31"/>
    <mergeCell ref="A43:D43"/>
    <mergeCell ref="A47:D47"/>
    <mergeCell ref="A55:D55"/>
    <mergeCell ref="A60:D60"/>
    <mergeCell ref="A67:D67"/>
    <mergeCell ref="A77:D77"/>
    <mergeCell ref="A86:D86"/>
    <mergeCell ref="A87:D87"/>
    <mergeCell ref="A97:D97"/>
    <mergeCell ref="A102:D102"/>
    <mergeCell ref="A107:D107"/>
    <mergeCell ref="A113:D113"/>
    <mergeCell ref="A121:D121"/>
    <mergeCell ref="A128:D128"/>
    <mergeCell ref="A139:D139"/>
  </mergeCells>
  <pageMargins left="0.7" right="0.7" top="0.75" bottom="0.75" header="0.511805555555555" footer="0.511805555555555"/>
  <pageSetup paperSize="9" scale="44" firstPageNumber="0" fitToHeight="0" orientation="portrait" useFirstPageNumber="1" horizontalDpi="300" verticalDpi="300"/>
  <headerFooter/>
  <legacyDrawing r:id="rId2"/>
  <tableParts count="22"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  <tablePart r:id="rId14"/>
    <tablePart r:id="rId15"/>
    <tablePart r:id="rId16"/>
    <tablePart r:id="rId17"/>
    <tablePart r:id="rId18"/>
    <tablePart r:id="rId19"/>
    <tablePart r:id="rId20"/>
    <tablePart r:id="rId21"/>
    <tablePart r:id="rId22"/>
    <tablePart r:id="rId23"/>
    <tablePart r:id="rId24"/>
  </tablePar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G147"/>
  <sheetViews>
    <sheetView workbookViewId="0">
      <selection activeCell="D148" sqref="A1:D148"/>
    </sheetView>
  </sheetViews>
  <sheetFormatPr defaultColWidth="9.14285714285714" defaultRowHeight="15" outlineLevelCol="6"/>
  <cols>
    <col min="1" max="1" width="10.5714285714286" customWidth="1"/>
    <col min="2" max="2" width="56.4285714285714" customWidth="1"/>
    <col min="3" max="3" width="20.2857142857143" customWidth="1"/>
    <col min="4" max="4" width="29.7142857142857" customWidth="1"/>
    <col min="6" max="6" width="22.8571428571429" customWidth="1"/>
    <col min="7" max="7" width="11.4285714285714" customWidth="1"/>
  </cols>
  <sheetData>
    <row r="2" ht="19.5" spans="1:4">
      <c r="A2" s="32" t="s">
        <v>177</v>
      </c>
      <c r="B2" s="32"/>
      <c r="C2" s="32"/>
      <c r="D2" s="32"/>
    </row>
    <row r="3" ht="15.75" spans="1:4">
      <c r="A3" s="33" t="s">
        <v>178</v>
      </c>
      <c r="B3" s="33"/>
      <c r="C3" s="33"/>
      <c r="D3" s="33"/>
    </row>
    <row r="4" spans="1:4">
      <c r="A4" s="34" t="s">
        <v>179</v>
      </c>
      <c r="B4" s="35" t="s">
        <v>180</v>
      </c>
      <c r="C4" s="36"/>
      <c r="D4" s="36"/>
    </row>
    <row r="5" spans="1:4">
      <c r="A5" s="37"/>
      <c r="B5" s="38"/>
      <c r="C5" s="38"/>
      <c r="D5" s="38"/>
    </row>
    <row r="6" ht="15.75" spans="1:4">
      <c r="A6" s="39" t="s">
        <v>181</v>
      </c>
      <c r="B6" s="39"/>
      <c r="C6" s="39"/>
      <c r="D6" s="39"/>
    </row>
    <row r="7" ht="15.75" spans="1:4">
      <c r="A7" s="40" t="s">
        <v>42</v>
      </c>
      <c r="B7" s="41" t="s">
        <v>182</v>
      </c>
      <c r="C7" s="42" t="s">
        <v>183</v>
      </c>
      <c r="D7" s="42"/>
    </row>
    <row r="8" spans="1:4">
      <c r="A8" s="43" t="s">
        <v>45</v>
      </c>
      <c r="B8" s="44" t="s">
        <v>184</v>
      </c>
      <c r="C8" s="45" t="s">
        <v>185</v>
      </c>
      <c r="D8" s="45"/>
    </row>
    <row r="9" spans="1:4">
      <c r="A9" s="46" t="s">
        <v>48</v>
      </c>
      <c r="B9" s="47" t="s">
        <v>186</v>
      </c>
      <c r="C9" s="45" t="s">
        <v>187</v>
      </c>
      <c r="D9" s="45"/>
    </row>
    <row r="10" spans="1:4">
      <c r="A10" s="43" t="s">
        <v>53</v>
      </c>
      <c r="B10" s="44" t="s">
        <v>188</v>
      </c>
      <c r="C10" s="45" t="s">
        <v>189</v>
      </c>
      <c r="D10" s="45"/>
    </row>
    <row r="11" ht="15.75" spans="1:4">
      <c r="A11" s="48" t="s">
        <v>190</v>
      </c>
      <c r="B11" s="48"/>
      <c r="C11" s="48"/>
      <c r="D11" s="48"/>
    </row>
    <row r="12" ht="16.5" spans="1:4">
      <c r="A12" s="49" t="s">
        <v>191</v>
      </c>
      <c r="B12" s="49"/>
      <c r="C12" s="48" t="s">
        <v>192</v>
      </c>
      <c r="D12" s="50" t="s">
        <v>193</v>
      </c>
    </row>
    <row r="13" ht="15.75" spans="1:4">
      <c r="A13" s="51" t="s">
        <v>194</v>
      </c>
      <c r="B13" s="51"/>
      <c r="C13" s="45" t="s">
        <v>195</v>
      </c>
      <c r="D13" s="52">
        <f>RESUMO!D3</f>
        <v>10</v>
      </c>
    </row>
    <row r="14" spans="1:4">
      <c r="A14" s="53"/>
      <c r="B14" s="53"/>
      <c r="C14" s="45"/>
      <c r="D14" s="54"/>
    </row>
    <row r="15" ht="15.75" spans="1:7">
      <c r="A15" s="48" t="s">
        <v>14</v>
      </c>
      <c r="B15" s="48"/>
      <c r="C15" s="48"/>
      <c r="D15" s="48"/>
      <c r="F15" s="55"/>
      <c r="G15" s="55"/>
    </row>
    <row r="16" ht="15.75" spans="1:4">
      <c r="A16" s="56" t="s">
        <v>16</v>
      </c>
      <c r="B16" t="s">
        <v>17</v>
      </c>
      <c r="C16" s="56" t="s">
        <v>18</v>
      </c>
      <c r="D16" s="56" t="s">
        <v>19</v>
      </c>
    </row>
    <row r="17" spans="1:4">
      <c r="A17" s="56">
        <v>1</v>
      </c>
      <c r="B17" t="s">
        <v>20</v>
      </c>
      <c r="C17" s="57" t="s">
        <v>102</v>
      </c>
      <c r="D17" s="57" t="str">
        <f>A13</f>
        <v>Tradutor-Intérprete de Libras</v>
      </c>
    </row>
    <row r="18" spans="1:4">
      <c r="A18" s="56">
        <v>2</v>
      </c>
      <c r="B18" t="s">
        <v>23</v>
      </c>
      <c r="C18" s="57" t="s">
        <v>196</v>
      </c>
      <c r="D18" s="57" t="s">
        <v>197</v>
      </c>
    </row>
    <row r="19" spans="1:4">
      <c r="A19" s="56">
        <v>3</v>
      </c>
      <c r="B19" t="s">
        <v>26</v>
      </c>
      <c r="C19" s="57" t="str">
        <f>C9</f>
        <v>CCT PB000047/2021</v>
      </c>
      <c r="D19" s="58">
        <v>2575.36</v>
      </c>
    </row>
    <row r="20" spans="1:4">
      <c r="A20" s="56">
        <v>4</v>
      </c>
      <c r="B20" t="s">
        <v>29</v>
      </c>
      <c r="C20" s="57" t="str">
        <f>C9</f>
        <v>CCT PB000047/2021</v>
      </c>
      <c r="D20" s="59" t="s">
        <v>198</v>
      </c>
    </row>
    <row r="21" spans="1:4">
      <c r="A21" s="56">
        <v>5</v>
      </c>
      <c r="B21" t="s">
        <v>33</v>
      </c>
      <c r="C21" s="57" t="str">
        <f>C9</f>
        <v>CCT PB000047/2021</v>
      </c>
      <c r="D21" s="60" t="s">
        <v>199</v>
      </c>
    </row>
    <row r="22" spans="6:7">
      <c r="F22" s="55"/>
      <c r="G22" s="55"/>
    </row>
    <row r="23" spans="1:4">
      <c r="A23" s="39" t="s">
        <v>36</v>
      </c>
      <c r="B23" s="39"/>
      <c r="C23" s="39"/>
      <c r="D23" s="39"/>
    </row>
    <row r="24" spans="1:7">
      <c r="A24" s="56" t="s">
        <v>39</v>
      </c>
      <c r="B24" s="61" t="s">
        <v>40</v>
      </c>
      <c r="C24" s="56" t="s">
        <v>18</v>
      </c>
      <c r="D24" s="56" t="s">
        <v>19</v>
      </c>
      <c r="G24" s="62"/>
    </row>
    <row r="25" spans="1:7">
      <c r="A25" s="56" t="s">
        <v>42</v>
      </c>
      <c r="B25" t="s">
        <v>43</v>
      </c>
      <c r="C25" s="63" t="s">
        <v>200</v>
      </c>
      <c r="D25" s="58">
        <f>D19</f>
        <v>2575.36</v>
      </c>
      <c r="G25" s="62"/>
    </row>
    <row r="26" spans="1:7">
      <c r="A26" s="56" t="s">
        <v>45</v>
      </c>
      <c r="B26" t="s">
        <v>46</v>
      </c>
      <c r="C26" s="59"/>
      <c r="D26" s="58">
        <v>0</v>
      </c>
      <c r="G26" s="62"/>
    </row>
    <row r="27" spans="1:4">
      <c r="A27" s="56" t="s">
        <v>48</v>
      </c>
      <c r="B27" t="s">
        <v>49</v>
      </c>
      <c r="C27" s="59"/>
      <c r="D27" s="58">
        <v>0</v>
      </c>
    </row>
    <row r="28" spans="1:4">
      <c r="A28" s="56" t="s">
        <v>50</v>
      </c>
      <c r="B28" t="s">
        <v>51</v>
      </c>
      <c r="C28" s="59"/>
      <c r="D28" s="58">
        <v>0</v>
      </c>
    </row>
    <row r="29" spans="1:4">
      <c r="A29" s="56" t="s">
        <v>53</v>
      </c>
      <c r="B29" t="s">
        <v>54</v>
      </c>
      <c r="C29" s="59"/>
      <c r="D29" s="58">
        <v>0</v>
      </c>
    </row>
    <row r="30" spans="1:4">
      <c r="A30" s="56" t="s">
        <v>55</v>
      </c>
      <c r="B30" t="s">
        <v>56</v>
      </c>
      <c r="C30" s="59"/>
      <c r="D30" s="58">
        <v>0</v>
      </c>
    </row>
    <row r="31" spans="1:7">
      <c r="A31" s="56" t="s">
        <v>58</v>
      </c>
      <c r="C31" s="56"/>
      <c r="D31" s="64">
        <f>TRUNC((SUM(D25:D30)),2)</f>
        <v>2575.36</v>
      </c>
      <c r="F31" s="55"/>
      <c r="G31" s="55"/>
    </row>
    <row r="33" spans="1:7">
      <c r="A33" s="65" t="s">
        <v>61</v>
      </c>
      <c r="B33" s="65"/>
      <c r="C33" s="65"/>
      <c r="D33" s="65"/>
      <c r="G33" s="62"/>
    </row>
    <row r="35" spans="1:4">
      <c r="A35" s="55" t="s">
        <v>63</v>
      </c>
      <c r="B35" s="55"/>
      <c r="C35" s="55"/>
      <c r="D35" s="55"/>
    </row>
    <row r="36" spans="1:4">
      <c r="A36" s="56" t="s">
        <v>65</v>
      </c>
      <c r="B36" s="61" t="s">
        <v>66</v>
      </c>
      <c r="C36" s="56" t="s">
        <v>38</v>
      </c>
      <c r="D36" s="56" t="s">
        <v>19</v>
      </c>
    </row>
    <row r="37" spans="1:7">
      <c r="A37" s="56" t="s">
        <v>42</v>
      </c>
      <c r="B37" t="s">
        <v>67</v>
      </c>
      <c r="C37" s="66">
        <f>(1/12)</f>
        <v>0.0833333333333333</v>
      </c>
      <c r="D37" s="64">
        <f>TRUNC($D$31*C37,2)</f>
        <v>214.61</v>
      </c>
      <c r="F37" s="67"/>
      <c r="G37" s="67"/>
    </row>
    <row r="38" spans="1:7">
      <c r="A38" s="56" t="s">
        <v>45</v>
      </c>
      <c r="B38" t="s">
        <v>68</v>
      </c>
      <c r="C38" s="66">
        <f>(((1+1/3)/12))</f>
        <v>0.111111111111111</v>
      </c>
      <c r="D38" s="64">
        <f>TRUNC($D$31*C38,2)</f>
        <v>286.15</v>
      </c>
      <c r="F38" s="67"/>
      <c r="G38" s="67"/>
    </row>
    <row r="39" spans="1:7">
      <c r="A39" s="56" t="s">
        <v>58</v>
      </c>
      <c r="D39" s="64">
        <f>TRUNC((SUM(D37:D38)),2)</f>
        <v>500.76</v>
      </c>
      <c r="F39" s="67"/>
      <c r="G39" s="67"/>
    </row>
    <row r="40" ht="15.75" spans="4:7">
      <c r="D40" s="64"/>
      <c r="F40" s="67"/>
      <c r="G40" s="67"/>
    </row>
    <row r="41" ht="16.5" spans="1:7">
      <c r="A41" s="68" t="s">
        <v>201</v>
      </c>
      <c r="B41" s="68"/>
      <c r="C41" s="69" t="s">
        <v>202</v>
      </c>
      <c r="D41" s="70">
        <f>D31</f>
        <v>2575.36</v>
      </c>
      <c r="F41" s="67"/>
      <c r="G41" s="67"/>
    </row>
    <row r="42" ht="16.5" spans="1:7">
      <c r="A42" s="68"/>
      <c r="B42" s="68"/>
      <c r="C42" s="71" t="s">
        <v>203</v>
      </c>
      <c r="D42" s="70">
        <f>D39</f>
        <v>500.76</v>
      </c>
      <c r="F42" s="67"/>
      <c r="G42" s="67"/>
    </row>
    <row r="43" ht="16.5" spans="1:7">
      <c r="A43" s="68"/>
      <c r="B43" s="68"/>
      <c r="C43" s="69" t="s">
        <v>204</v>
      </c>
      <c r="D43" s="72">
        <f>TRUNC((SUM(D41:D42)),2)</f>
        <v>3076.12</v>
      </c>
      <c r="F43" s="67"/>
      <c r="G43" s="67"/>
    </row>
    <row r="44" ht="15.75" spans="1:7">
      <c r="A44" s="56"/>
      <c r="C44" s="73"/>
      <c r="D44" s="64"/>
      <c r="F44" s="67"/>
      <c r="G44" s="67"/>
    </row>
    <row r="45" spans="1:4">
      <c r="A45" s="55" t="s">
        <v>77</v>
      </c>
      <c r="B45" s="55"/>
      <c r="C45" s="55"/>
      <c r="D45" s="55"/>
    </row>
    <row r="46" spans="1:4">
      <c r="A46" s="56" t="s">
        <v>78</v>
      </c>
      <c r="B46" s="61" t="s">
        <v>79</v>
      </c>
      <c r="C46" s="56" t="s">
        <v>38</v>
      </c>
      <c r="D46" s="56" t="s">
        <v>80</v>
      </c>
    </row>
    <row r="47" spans="1:4">
      <c r="A47" s="56" t="s">
        <v>42</v>
      </c>
      <c r="B47" t="s">
        <v>81</v>
      </c>
      <c r="C47" s="66">
        <v>0.2</v>
      </c>
      <c r="D47" s="64">
        <f t="shared" ref="D47:D54" si="0">TRUNC(($D$43*C47),2)</f>
        <v>615.22</v>
      </c>
    </row>
    <row r="48" spans="1:4">
      <c r="A48" s="56" t="s">
        <v>45</v>
      </c>
      <c r="B48" t="s">
        <v>82</v>
      </c>
      <c r="C48" s="66">
        <v>0.025</v>
      </c>
      <c r="D48" s="64">
        <f t="shared" si="0"/>
        <v>76.9</v>
      </c>
    </row>
    <row r="49" spans="1:4">
      <c r="A49" s="56" t="s">
        <v>48</v>
      </c>
      <c r="B49" t="s">
        <v>205</v>
      </c>
      <c r="C49" s="74">
        <v>0.06</v>
      </c>
      <c r="D49" s="58">
        <f t="shared" si="0"/>
        <v>184.56</v>
      </c>
    </row>
    <row r="50" spans="1:4">
      <c r="A50" s="56" t="s">
        <v>50</v>
      </c>
      <c r="B50" t="s">
        <v>84</v>
      </c>
      <c r="C50" s="66">
        <v>0.015</v>
      </c>
      <c r="D50" s="64">
        <f t="shared" si="0"/>
        <v>46.14</v>
      </c>
    </row>
    <row r="51" spans="1:4">
      <c r="A51" s="56" t="s">
        <v>53</v>
      </c>
      <c r="B51" t="s">
        <v>85</v>
      </c>
      <c r="C51" s="66">
        <v>0.01</v>
      </c>
      <c r="D51" s="64">
        <f t="shared" si="0"/>
        <v>30.76</v>
      </c>
    </row>
    <row r="52" spans="1:4">
      <c r="A52" s="56" t="s">
        <v>55</v>
      </c>
      <c r="B52" t="s">
        <v>86</v>
      </c>
      <c r="C52" s="66">
        <v>0.006</v>
      </c>
      <c r="D52" s="64">
        <f t="shared" si="0"/>
        <v>18.45</v>
      </c>
    </row>
    <row r="53" spans="1:4">
      <c r="A53" s="56" t="s">
        <v>87</v>
      </c>
      <c r="B53" t="s">
        <v>88</v>
      </c>
      <c r="C53" s="66">
        <v>0.002</v>
      </c>
      <c r="D53" s="64">
        <f t="shared" si="0"/>
        <v>6.15</v>
      </c>
    </row>
    <row r="54" spans="1:4">
      <c r="A54" s="56" t="s">
        <v>89</v>
      </c>
      <c r="B54" t="s">
        <v>90</v>
      </c>
      <c r="C54" s="66">
        <v>0.08</v>
      </c>
      <c r="D54" s="64">
        <f t="shared" si="0"/>
        <v>246.08</v>
      </c>
    </row>
    <row r="55" spans="1:4">
      <c r="A55" s="56" t="s">
        <v>58</v>
      </c>
      <c r="C55" s="73">
        <f>SUM(C47:C54)</f>
        <v>0.398</v>
      </c>
      <c r="D55" s="64">
        <f>TRUNC(SUM(D47:D54),2)</f>
        <v>1224.26</v>
      </c>
    </row>
    <row r="56" spans="1:4">
      <c r="A56" s="56"/>
      <c r="C56" s="73"/>
      <c r="D56" s="64"/>
    </row>
    <row r="57" spans="1:4">
      <c r="A57" s="55" t="s">
        <v>95</v>
      </c>
      <c r="B57" s="55"/>
      <c r="C57" s="55"/>
      <c r="D57" s="55"/>
    </row>
    <row r="58" spans="1:4">
      <c r="A58" s="56" t="s">
        <v>96</v>
      </c>
      <c r="B58" s="61" t="s">
        <v>97</v>
      </c>
      <c r="C58" s="56" t="s">
        <v>18</v>
      </c>
      <c r="D58" s="56" t="s">
        <v>19</v>
      </c>
    </row>
    <row r="59" spans="1:4">
      <c r="A59" s="56" t="s">
        <v>42</v>
      </c>
      <c r="B59" t="s">
        <v>98</v>
      </c>
      <c r="C59" s="57"/>
      <c r="D59" s="75">
        <f>TRUNC(((22*4.15)*2)-((D25/100)*6),2)</f>
        <v>28.07</v>
      </c>
    </row>
    <row r="60" spans="1:4">
      <c r="A60" s="56" t="s">
        <v>45</v>
      </c>
      <c r="B60" t="s">
        <v>99</v>
      </c>
      <c r="C60" s="57" t="str">
        <f>C9</f>
        <v>CCT PB000047/2021</v>
      </c>
      <c r="D60" s="58">
        <f>TRUNC((((22*18))-(((22*18))*0.2)),2)</f>
        <v>316.8</v>
      </c>
    </row>
    <row r="61" spans="1:4">
      <c r="A61" s="56" t="s">
        <v>48</v>
      </c>
      <c r="B61" t="s">
        <v>100</v>
      </c>
      <c r="C61" s="57"/>
      <c r="D61" s="58">
        <v>0</v>
      </c>
    </row>
    <row r="62" spans="1:6">
      <c r="A62" s="76" t="s">
        <v>50</v>
      </c>
      <c r="B62" s="77" t="s">
        <v>206</v>
      </c>
      <c r="C62" s="78"/>
      <c r="D62" s="78">
        <v>0</v>
      </c>
      <c r="F62" s="77"/>
    </row>
    <row r="63" spans="1:4">
      <c r="A63" s="56" t="s">
        <v>53</v>
      </c>
      <c r="B63" s="61" t="s">
        <v>207</v>
      </c>
      <c r="C63" s="57" t="str">
        <f>C60</f>
        <v>CCT PB000047/2021</v>
      </c>
      <c r="D63" s="58">
        <v>15</v>
      </c>
    </row>
    <row r="64" spans="1:4">
      <c r="A64" s="56" t="s">
        <v>55</v>
      </c>
      <c r="B64" s="79" t="s">
        <v>208</v>
      </c>
      <c r="C64" s="78" t="str">
        <f>C60</f>
        <v>CCT PB000047/2021</v>
      </c>
      <c r="D64" s="58">
        <v>5</v>
      </c>
    </row>
    <row r="65" spans="1:4">
      <c r="A65" s="56" t="s">
        <v>58</v>
      </c>
      <c r="D65" s="64">
        <f>TRUNC((SUM(D59:D64)),2)</f>
        <v>364.87</v>
      </c>
    </row>
    <row r="66" spans="1:4">
      <c r="A66" s="56"/>
      <c r="D66" s="64"/>
    </row>
    <row r="67" spans="1:4">
      <c r="A67" s="55" t="s">
        <v>105</v>
      </c>
      <c r="B67" s="55"/>
      <c r="C67" s="55"/>
      <c r="D67" s="55"/>
    </row>
    <row r="68" spans="1:4">
      <c r="A68" s="56" t="s">
        <v>106</v>
      </c>
      <c r="B68" s="61" t="s">
        <v>107</v>
      </c>
      <c r="C68" s="56" t="s">
        <v>18</v>
      </c>
      <c r="D68" s="56" t="s">
        <v>19</v>
      </c>
    </row>
    <row r="69" spans="1:4">
      <c r="A69" s="56" t="s">
        <v>65</v>
      </c>
      <c r="B69" t="s">
        <v>66</v>
      </c>
      <c r="C69" s="56"/>
      <c r="D69" s="64">
        <f>D39</f>
        <v>500.76</v>
      </c>
    </row>
    <row r="70" spans="1:4">
      <c r="A70" s="56" t="s">
        <v>78</v>
      </c>
      <c r="B70" t="s">
        <v>79</v>
      </c>
      <c r="C70" s="56"/>
      <c r="D70" s="64">
        <f>D55</f>
        <v>1224.26</v>
      </c>
    </row>
    <row r="71" spans="1:4">
      <c r="A71" s="56" t="s">
        <v>96</v>
      </c>
      <c r="B71" t="s">
        <v>97</v>
      </c>
      <c r="C71" s="56"/>
      <c r="D71" s="64">
        <f>D65</f>
        <v>364.87</v>
      </c>
    </row>
    <row r="72" spans="1:4">
      <c r="A72" s="56" t="s">
        <v>58</v>
      </c>
      <c r="C72" s="56"/>
      <c r="D72" s="64">
        <f>TRUNC((SUM(D69:D71)),2)</f>
        <v>2089.89</v>
      </c>
    </row>
    <row r="74" spans="1:4">
      <c r="A74" s="39" t="s">
        <v>108</v>
      </c>
      <c r="B74" s="39"/>
      <c r="C74" s="39"/>
      <c r="D74" s="39"/>
    </row>
    <row r="75" spans="1:4">
      <c r="A75" s="56" t="s">
        <v>109</v>
      </c>
      <c r="B75" s="61" t="s">
        <v>110</v>
      </c>
      <c r="C75" s="56" t="s">
        <v>38</v>
      </c>
      <c r="D75" s="56" t="s">
        <v>19</v>
      </c>
    </row>
    <row r="76" spans="1:4">
      <c r="A76" s="56" t="s">
        <v>42</v>
      </c>
      <c r="B76" t="s">
        <v>111</v>
      </c>
      <c r="C76" s="74">
        <f>((1/12)*5%)</f>
        <v>0.00416666666666667</v>
      </c>
      <c r="D76" s="58">
        <f t="shared" ref="D76:D79" si="1">TRUNC(($D$31*C76),2)</f>
        <v>10.73</v>
      </c>
    </row>
    <row r="77" spans="1:4">
      <c r="A77" s="56" t="s">
        <v>45</v>
      </c>
      <c r="B77" t="s">
        <v>112</v>
      </c>
      <c r="C77" s="80">
        <v>0.08</v>
      </c>
      <c r="D77" s="64">
        <f>TRUNC(($D$76*C77),2)</f>
        <v>0.85</v>
      </c>
    </row>
    <row r="78" ht="30" spans="1:4">
      <c r="A78" s="56" t="s">
        <v>48</v>
      </c>
      <c r="B78" s="81" t="s">
        <v>113</v>
      </c>
      <c r="C78" s="82">
        <f>(0.08*0.4*0.05)</f>
        <v>0.0016</v>
      </c>
      <c r="D78" s="78">
        <f t="shared" si="1"/>
        <v>4.12</v>
      </c>
    </row>
    <row r="79" spans="1:4">
      <c r="A79" s="56" t="s">
        <v>50</v>
      </c>
      <c r="B79" t="s">
        <v>114</v>
      </c>
      <c r="C79" s="83">
        <f>(((7/30)/12)*0.95)</f>
        <v>0.0184722222222222</v>
      </c>
      <c r="D79" s="84">
        <f t="shared" si="1"/>
        <v>47.57</v>
      </c>
    </row>
    <row r="80" ht="30" spans="1:4">
      <c r="A80" s="56" t="s">
        <v>53</v>
      </c>
      <c r="B80" s="81" t="s">
        <v>209</v>
      </c>
      <c r="C80" s="82">
        <f>C55</f>
        <v>0.398</v>
      </c>
      <c r="D80" s="78">
        <f>TRUNC(($D$79*C80),2)</f>
        <v>18.93</v>
      </c>
    </row>
    <row r="81" ht="30" spans="1:4">
      <c r="A81" s="56" t="s">
        <v>55</v>
      </c>
      <c r="B81" s="81" t="s">
        <v>115</v>
      </c>
      <c r="C81" s="83">
        <f>(0.08*0.4*0.95)</f>
        <v>0.0304</v>
      </c>
      <c r="D81" s="85">
        <f>TRUNC(($D$31*C81),2)</f>
        <v>78.29</v>
      </c>
    </row>
    <row r="82" spans="1:4">
      <c r="A82" s="56" t="s">
        <v>58</v>
      </c>
      <c r="C82" s="80">
        <f>SUM(C76:C81)</f>
        <v>0.532638888888889</v>
      </c>
      <c r="D82" s="64">
        <f>TRUNC((SUM(D76:D81)),2)</f>
        <v>160.49</v>
      </c>
    </row>
    <row r="83" ht="15.75" spans="1:4">
      <c r="A83" s="56"/>
      <c r="D83" s="64"/>
    </row>
    <row r="84" ht="16.5" spans="1:4">
      <c r="A84" s="68" t="s">
        <v>210</v>
      </c>
      <c r="B84" s="68"/>
      <c r="C84" s="69" t="s">
        <v>202</v>
      </c>
      <c r="D84" s="70">
        <f>D31</f>
        <v>2575.36</v>
      </c>
    </row>
    <row r="85" ht="16.5" spans="1:4">
      <c r="A85" s="68"/>
      <c r="B85" s="68"/>
      <c r="C85" s="71" t="s">
        <v>211</v>
      </c>
      <c r="D85" s="70">
        <f>D72</f>
        <v>2089.89</v>
      </c>
    </row>
    <row r="86" ht="16.5" spans="1:4">
      <c r="A86" s="68"/>
      <c r="B86" s="68"/>
      <c r="C86" s="69" t="s">
        <v>212</v>
      </c>
      <c r="D86" s="70">
        <f>D82</f>
        <v>160.49</v>
      </c>
    </row>
    <row r="87" ht="16.5" spans="1:4">
      <c r="A87" s="68"/>
      <c r="B87" s="68"/>
      <c r="C87" s="71" t="s">
        <v>204</v>
      </c>
      <c r="D87" s="72">
        <f>TRUNC((SUM(D84:D86)),2)</f>
        <v>4825.74</v>
      </c>
    </row>
    <row r="88" ht="15.75" spans="1:4">
      <c r="A88" s="56"/>
      <c r="D88" s="64"/>
    </row>
    <row r="89" spans="1:4">
      <c r="A89" s="86" t="s">
        <v>127</v>
      </c>
      <c r="B89" s="86"/>
      <c r="C89" s="86"/>
      <c r="D89" s="86"/>
    </row>
    <row r="90" spans="1:4">
      <c r="A90" s="55" t="s">
        <v>128</v>
      </c>
      <c r="B90" s="55"/>
      <c r="C90" s="55"/>
      <c r="D90" s="55"/>
    </row>
    <row r="91" spans="1:4">
      <c r="A91" s="56" t="s">
        <v>129</v>
      </c>
      <c r="B91" s="61" t="s">
        <v>130</v>
      </c>
      <c r="C91" s="56" t="s">
        <v>38</v>
      </c>
      <c r="D91" s="56" t="s">
        <v>19</v>
      </c>
    </row>
    <row r="92" spans="1:4">
      <c r="A92" s="56" t="s">
        <v>42</v>
      </c>
      <c r="B92" t="s">
        <v>213</v>
      </c>
      <c r="C92" s="80">
        <f>(((1+1/3)/12)/12)+((1/12)/12)</f>
        <v>0.0162037037037037</v>
      </c>
      <c r="D92" s="64">
        <f t="shared" ref="D92:D96" si="2">TRUNC(($D$87*C92),2)</f>
        <v>78.19</v>
      </c>
    </row>
    <row r="93" spans="1:4">
      <c r="A93" s="56" t="s">
        <v>45</v>
      </c>
      <c r="B93" t="s">
        <v>133</v>
      </c>
      <c r="C93" s="74">
        <f>((2/30)/12)</f>
        <v>0.00555555555555556</v>
      </c>
      <c r="D93" s="78">
        <f t="shared" si="2"/>
        <v>26.8</v>
      </c>
    </row>
    <row r="94" spans="1:4">
      <c r="A94" s="56" t="s">
        <v>48</v>
      </c>
      <c r="B94" t="s">
        <v>134</v>
      </c>
      <c r="C94" s="74">
        <f>((5/30)/12)*0.02</f>
        <v>0.000277777777777778</v>
      </c>
      <c r="D94" s="78">
        <f t="shared" si="2"/>
        <v>1.34</v>
      </c>
    </row>
    <row r="95" spans="1:4">
      <c r="A95" s="76" t="s">
        <v>50</v>
      </c>
      <c r="B95" s="81" t="s">
        <v>135</v>
      </c>
      <c r="C95" s="82">
        <f>((15/30)/12)*0.08</f>
        <v>0.00333333333333333</v>
      </c>
      <c r="D95" s="78">
        <f t="shared" si="2"/>
        <v>16.08</v>
      </c>
    </row>
    <row r="96" spans="1:4">
      <c r="A96" s="56" t="s">
        <v>53</v>
      </c>
      <c r="B96" t="s">
        <v>136</v>
      </c>
      <c r="C96" s="74">
        <f>((1+1/3)/12)*0.03*((4/12))</f>
        <v>0.00111111111111111</v>
      </c>
      <c r="D96" s="78">
        <f t="shared" si="2"/>
        <v>5.36</v>
      </c>
    </row>
    <row r="97" spans="1:4">
      <c r="A97" s="56" t="s">
        <v>55</v>
      </c>
      <c r="B97" s="81" t="s">
        <v>214</v>
      </c>
      <c r="C97" s="87">
        <v>0</v>
      </c>
      <c r="D97" s="78">
        <f>TRUNC($D$87*C97)</f>
        <v>0</v>
      </c>
    </row>
    <row r="98" spans="1:4">
      <c r="A98" s="56" t="s">
        <v>58</v>
      </c>
      <c r="C98" s="80">
        <f>SUM(C92:C97)</f>
        <v>0.0264814814814815</v>
      </c>
      <c r="D98" s="64">
        <f>TRUNC((SUM(D92:D97)),2)</f>
        <v>127.77</v>
      </c>
    </row>
    <row r="99" spans="1:4">
      <c r="A99" s="56"/>
      <c r="C99" s="56"/>
      <c r="D99" s="64"/>
    </row>
    <row r="100" spans="1:4">
      <c r="A100" s="55" t="s">
        <v>144</v>
      </c>
      <c r="B100" s="55"/>
      <c r="C100" s="55"/>
      <c r="D100" s="55"/>
    </row>
    <row r="101" spans="1:4">
      <c r="A101" s="56" t="s">
        <v>145</v>
      </c>
      <c r="B101" s="61" t="s">
        <v>146</v>
      </c>
      <c r="C101" s="56" t="s">
        <v>18</v>
      </c>
      <c r="D101" s="56" t="s">
        <v>19</v>
      </c>
    </row>
    <row r="102" ht="120" spans="1:4">
      <c r="A102" s="76" t="s">
        <v>42</v>
      </c>
      <c r="B102" s="88" t="s">
        <v>147</v>
      </c>
      <c r="C102" s="89" t="s">
        <v>215</v>
      </c>
      <c r="D102" s="90" t="s">
        <v>216</v>
      </c>
    </row>
    <row r="103" spans="1:4">
      <c r="A103" s="56" t="s">
        <v>58</v>
      </c>
      <c r="C103" s="91"/>
      <c r="D103" s="92" t="str">
        <f>D102</f>
        <v>*=TRUNCAR(($D$86/220)*(1*(365/12))/2)</v>
      </c>
    </row>
    <row r="105" spans="1:4">
      <c r="A105" s="55" t="s">
        <v>148</v>
      </c>
      <c r="B105" s="55"/>
      <c r="C105" s="55"/>
      <c r="D105" s="55"/>
    </row>
    <row r="106" spans="1:4">
      <c r="A106" s="56" t="s">
        <v>149</v>
      </c>
      <c r="B106" s="61" t="s">
        <v>150</v>
      </c>
      <c r="C106" s="56" t="s">
        <v>18</v>
      </c>
      <c r="D106" s="56" t="s">
        <v>19</v>
      </c>
    </row>
    <row r="107" spans="1:4">
      <c r="A107" s="56" t="s">
        <v>129</v>
      </c>
      <c r="B107" t="s">
        <v>130</v>
      </c>
      <c r="D107" s="58">
        <f>D98</f>
        <v>127.77</v>
      </c>
    </row>
    <row r="108" spans="1:4">
      <c r="A108" s="56" t="s">
        <v>145</v>
      </c>
      <c r="B108" t="s">
        <v>151</v>
      </c>
      <c r="C108" s="61"/>
      <c r="D108" s="93"/>
    </row>
    <row r="109" ht="90" spans="1:4">
      <c r="A109" s="76" t="s">
        <v>58</v>
      </c>
      <c r="B109" s="77"/>
      <c r="C109" s="89" t="s">
        <v>217</v>
      </c>
      <c r="D109" s="94">
        <f>TRUNC((SUM(D107:D108)),2)</f>
        <v>127.77</v>
      </c>
    </row>
    <row r="111" spans="1:4">
      <c r="A111" s="39" t="s">
        <v>152</v>
      </c>
      <c r="B111" s="39"/>
      <c r="C111" s="39"/>
      <c r="D111" s="39"/>
    </row>
    <row r="112" spans="1:4">
      <c r="A112" s="76" t="s">
        <v>153</v>
      </c>
      <c r="B112" s="77" t="s">
        <v>154</v>
      </c>
      <c r="C112" s="76" t="s">
        <v>18</v>
      </c>
      <c r="D112" s="76" t="s">
        <v>19</v>
      </c>
    </row>
    <row r="113" spans="1:4">
      <c r="A113" s="56" t="s">
        <v>42</v>
      </c>
      <c r="B113" t="s">
        <v>218</v>
      </c>
      <c r="D113" s="95">
        <f>Uniformes!G12</f>
        <v>87.37</v>
      </c>
    </row>
    <row r="114" spans="1:4">
      <c r="A114" s="56" t="s">
        <v>45</v>
      </c>
      <c r="B114" t="s">
        <v>219</v>
      </c>
      <c r="D114" s="58">
        <v>0</v>
      </c>
    </row>
    <row r="115" spans="1:4">
      <c r="A115" s="56" t="s">
        <v>48</v>
      </c>
      <c r="B115" t="s">
        <v>156</v>
      </c>
      <c r="D115" s="58">
        <v>0</v>
      </c>
    </row>
    <row r="116" spans="1:4">
      <c r="A116" s="56" t="s">
        <v>50</v>
      </c>
      <c r="B116" t="s">
        <v>157</v>
      </c>
      <c r="D116" s="58">
        <v>0</v>
      </c>
    </row>
    <row r="117" spans="1:4">
      <c r="A117" s="56" t="s">
        <v>53</v>
      </c>
      <c r="B117" t="s">
        <v>220</v>
      </c>
      <c r="C117" s="56"/>
      <c r="D117" s="58">
        <v>0</v>
      </c>
    </row>
    <row r="118" spans="1:4">
      <c r="A118" s="56" t="s">
        <v>58</v>
      </c>
      <c r="D118" s="64">
        <f>TRUNC(SUM(D113:D117),2)</f>
        <v>87.37</v>
      </c>
    </row>
    <row r="119" ht="15.75"/>
    <row r="120" ht="16.5" spans="1:4">
      <c r="A120" s="68" t="s">
        <v>221</v>
      </c>
      <c r="B120" s="68"/>
      <c r="C120" s="69" t="s">
        <v>202</v>
      </c>
      <c r="D120" s="70">
        <f>D31</f>
        <v>2575.36</v>
      </c>
    </row>
    <row r="121" ht="16.5" spans="1:4">
      <c r="A121" s="68"/>
      <c r="B121" s="68"/>
      <c r="C121" s="71" t="s">
        <v>211</v>
      </c>
      <c r="D121" s="70">
        <f>D72</f>
        <v>2089.89</v>
      </c>
    </row>
    <row r="122" ht="16.5" spans="1:4">
      <c r="A122" s="68"/>
      <c r="B122" s="68"/>
      <c r="C122" s="69" t="s">
        <v>212</v>
      </c>
      <c r="D122" s="70">
        <f>D82</f>
        <v>160.49</v>
      </c>
    </row>
    <row r="123" ht="16.5" spans="1:4">
      <c r="A123" s="68"/>
      <c r="B123" s="68"/>
      <c r="C123" s="71" t="s">
        <v>222</v>
      </c>
      <c r="D123" s="70">
        <f>D109</f>
        <v>127.77</v>
      </c>
    </row>
    <row r="124" ht="16.5" spans="1:4">
      <c r="A124" s="68"/>
      <c r="B124" s="68"/>
      <c r="C124" s="69" t="s">
        <v>223</v>
      </c>
      <c r="D124" s="70">
        <f>D118</f>
        <v>87.37</v>
      </c>
    </row>
    <row r="125" ht="16.5" spans="1:4">
      <c r="A125" s="68"/>
      <c r="B125" s="68"/>
      <c r="C125" s="71" t="s">
        <v>204</v>
      </c>
      <c r="D125" s="72">
        <f>TRUNC((SUM(D120:D124)),2)</f>
        <v>5040.88</v>
      </c>
    </row>
    <row r="126" ht="15.75"/>
    <row r="127" spans="1:4">
      <c r="A127" s="39" t="s">
        <v>164</v>
      </c>
      <c r="B127" s="39"/>
      <c r="C127" s="39"/>
      <c r="D127" s="39"/>
    </row>
    <row r="128" spans="1:7">
      <c r="A128" s="56" t="s">
        <v>165</v>
      </c>
      <c r="B128" t="s">
        <v>166</v>
      </c>
      <c r="C128" s="56" t="s">
        <v>38</v>
      </c>
      <c r="D128" s="56" t="s">
        <v>19</v>
      </c>
      <c r="F128" s="96" t="s">
        <v>224</v>
      </c>
      <c r="G128" s="96"/>
    </row>
    <row r="129" ht="15.75" spans="1:7">
      <c r="A129" s="56" t="s">
        <v>42</v>
      </c>
      <c r="B129" t="s">
        <v>167</v>
      </c>
      <c r="C129" s="97">
        <v>0.0404</v>
      </c>
      <c r="D129" s="95">
        <f>TRUNC(($D$125*C129),2)</f>
        <v>203.65</v>
      </c>
      <c r="F129" s="98" t="s">
        <v>225</v>
      </c>
      <c r="G129" s="82">
        <f>C131</f>
        <v>0.0865</v>
      </c>
    </row>
    <row r="130" ht="15.75" spans="1:7">
      <c r="A130" s="56" t="s">
        <v>45</v>
      </c>
      <c r="B130" t="s">
        <v>59</v>
      </c>
      <c r="C130" s="97">
        <v>0.035</v>
      </c>
      <c r="D130" s="95">
        <f>TRUNC((C130*(D125+D129)),2)</f>
        <v>183.55</v>
      </c>
      <c r="F130" s="99" t="s">
        <v>226</v>
      </c>
      <c r="G130" s="100">
        <f>TRUNC(SUM(D125,D129,D130),2)</f>
        <v>5428.08</v>
      </c>
    </row>
    <row r="131" spans="1:7">
      <c r="A131" s="56" t="s">
        <v>48</v>
      </c>
      <c r="B131" t="s">
        <v>168</v>
      </c>
      <c r="C131" s="74">
        <f>SUM(C132:C134)</f>
        <v>0.0865</v>
      </c>
      <c r="D131" s="58">
        <f>SUM(D132:D134)</f>
        <v>513.98</v>
      </c>
      <c r="F131" s="98" t="s">
        <v>227</v>
      </c>
      <c r="G131" s="101">
        <f>(100-8.65)/100</f>
        <v>0.9135</v>
      </c>
    </row>
    <row r="132" ht="15.75" spans="1:7">
      <c r="A132" s="56"/>
      <c r="B132" t="s">
        <v>228</v>
      </c>
      <c r="C132" s="74">
        <v>0.0065</v>
      </c>
      <c r="D132" s="58">
        <f t="shared" ref="D132:D134" si="3">TRUNC(($G$132*C132),2)</f>
        <v>38.62</v>
      </c>
      <c r="F132" s="99" t="s">
        <v>224</v>
      </c>
      <c r="G132" s="100">
        <f>TRUNC((G130/G131),2)</f>
        <v>5942.06</v>
      </c>
    </row>
    <row r="133" ht="15.75" spans="1:4">
      <c r="A133" s="56"/>
      <c r="B133" t="s">
        <v>229</v>
      </c>
      <c r="C133" s="74">
        <v>0.03</v>
      </c>
      <c r="D133" s="58">
        <f t="shared" si="3"/>
        <v>178.26</v>
      </c>
    </row>
    <row r="134" spans="1:4">
      <c r="A134" s="56"/>
      <c r="B134" t="s">
        <v>230</v>
      </c>
      <c r="C134" s="74">
        <v>0.05</v>
      </c>
      <c r="D134" s="58">
        <f t="shared" si="3"/>
        <v>297.1</v>
      </c>
    </row>
    <row r="135" spans="1:4">
      <c r="A135" s="56" t="s">
        <v>58</v>
      </c>
      <c r="B135" s="102"/>
      <c r="C135" s="103"/>
      <c r="D135" s="64">
        <f>SUM(D129:D131)</f>
        <v>901.18</v>
      </c>
    </row>
    <row r="136" spans="1:4">
      <c r="A136" s="56"/>
      <c r="C136" s="103"/>
      <c r="D136" s="64"/>
    </row>
    <row r="138" spans="1:4">
      <c r="A138" s="39" t="s">
        <v>172</v>
      </c>
      <c r="B138" s="39"/>
      <c r="C138" s="39"/>
      <c r="D138" s="39"/>
    </row>
    <row r="139" spans="1:4">
      <c r="A139" s="56" t="s">
        <v>16</v>
      </c>
      <c r="B139" s="56" t="s">
        <v>173</v>
      </c>
      <c r="C139" s="56" t="s">
        <v>102</v>
      </c>
      <c r="D139" s="56" t="s">
        <v>19</v>
      </c>
    </row>
    <row r="140" spans="1:4">
      <c r="A140" s="56" t="s">
        <v>42</v>
      </c>
      <c r="B140" t="s">
        <v>36</v>
      </c>
      <c r="D140" s="64">
        <f>D31</f>
        <v>2575.36</v>
      </c>
    </row>
    <row r="141" spans="1:4">
      <c r="A141" s="56" t="s">
        <v>45</v>
      </c>
      <c r="B141" t="s">
        <v>61</v>
      </c>
      <c r="D141" s="64">
        <f>D72</f>
        <v>2089.89</v>
      </c>
    </row>
    <row r="142" spans="1:4">
      <c r="A142" s="56" t="s">
        <v>48</v>
      </c>
      <c r="B142" t="s">
        <v>108</v>
      </c>
      <c r="D142" s="64">
        <f>D82</f>
        <v>160.49</v>
      </c>
    </row>
    <row r="143" spans="1:4">
      <c r="A143" s="56" t="s">
        <v>50</v>
      </c>
      <c r="B143" t="s">
        <v>174</v>
      </c>
      <c r="D143" s="64">
        <f>D109</f>
        <v>127.77</v>
      </c>
    </row>
    <row r="144" spans="1:4">
      <c r="A144" s="56" t="s">
        <v>53</v>
      </c>
      <c r="B144" t="s">
        <v>152</v>
      </c>
      <c r="D144" s="64">
        <f>D118</f>
        <v>87.37</v>
      </c>
    </row>
    <row r="145" spans="2:4">
      <c r="B145" s="104" t="s">
        <v>175</v>
      </c>
      <c r="D145" s="64">
        <f>SUM(D140:D144)</f>
        <v>5040.88</v>
      </c>
    </row>
    <row r="146" spans="1:4">
      <c r="A146" s="56" t="s">
        <v>55</v>
      </c>
      <c r="B146" t="s">
        <v>164</v>
      </c>
      <c r="D146" s="64">
        <f>D135</f>
        <v>901.18</v>
      </c>
    </row>
    <row r="147" spans="1:4">
      <c r="A147" s="105"/>
      <c r="B147" s="106" t="s">
        <v>231</v>
      </c>
      <c r="C147" s="105"/>
      <c r="D147" s="107">
        <f>TRUNC((SUM(D140:D144)+D146),2)</f>
        <v>5942.06</v>
      </c>
    </row>
  </sheetData>
  <mergeCells count="33">
    <mergeCell ref="A2:D2"/>
    <mergeCell ref="A3:D3"/>
    <mergeCell ref="A6:D6"/>
    <mergeCell ref="C7:D7"/>
    <mergeCell ref="C8:D8"/>
    <mergeCell ref="C9:D9"/>
    <mergeCell ref="C10:D10"/>
    <mergeCell ref="A11:D11"/>
    <mergeCell ref="A12:B12"/>
    <mergeCell ref="A13:B13"/>
    <mergeCell ref="A14:B14"/>
    <mergeCell ref="A15:D15"/>
    <mergeCell ref="F15:G15"/>
    <mergeCell ref="F22:G22"/>
    <mergeCell ref="A23:D23"/>
    <mergeCell ref="F31:G31"/>
    <mergeCell ref="A33:D33"/>
    <mergeCell ref="A35:D35"/>
    <mergeCell ref="A45:D45"/>
    <mergeCell ref="A57:D57"/>
    <mergeCell ref="A67:D67"/>
    <mergeCell ref="A74:D74"/>
    <mergeCell ref="A89:D89"/>
    <mergeCell ref="A90:D90"/>
    <mergeCell ref="A100:D100"/>
    <mergeCell ref="A105:D105"/>
    <mergeCell ref="A111:D111"/>
    <mergeCell ref="A127:D127"/>
    <mergeCell ref="F128:G128"/>
    <mergeCell ref="A138:D138"/>
    <mergeCell ref="A41:B43"/>
    <mergeCell ref="A84:B87"/>
    <mergeCell ref="A120:B125"/>
  </mergeCells>
  <pageMargins left="0.75" right="0.75" top="1" bottom="1" header="0.5" footer="0.5"/>
  <pageSetup paperSize="9" orientation="landscape"/>
  <headerFooter/>
  <tableParts count="13">
    <tablePart r:id="rId1"/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</tablePart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G147"/>
  <sheetViews>
    <sheetView topLeftCell="A128" workbookViewId="0">
      <selection activeCell="D164" sqref="D164"/>
    </sheetView>
  </sheetViews>
  <sheetFormatPr defaultColWidth="9.14285714285714" defaultRowHeight="15" outlineLevelCol="6"/>
  <cols>
    <col min="1" max="1" width="11.2285714285714" customWidth="1"/>
    <col min="2" max="2" width="46.0571428571429" customWidth="1"/>
    <col min="3" max="3" width="24.552380952381" customWidth="1"/>
    <col min="4" max="4" width="41" customWidth="1"/>
    <col min="6" max="6" width="22.8571428571429" customWidth="1"/>
    <col min="7" max="7" width="11.4285714285714" customWidth="1"/>
    <col min="9" max="9" width="11.4285714285714"/>
  </cols>
  <sheetData>
    <row r="2" ht="19.5" spans="1:4">
      <c r="A2" s="32" t="s">
        <v>177</v>
      </c>
      <c r="B2" s="32"/>
      <c r="C2" s="32"/>
      <c r="D2" s="32"/>
    </row>
    <row r="3" ht="15.75" spans="1:4">
      <c r="A3" s="33" t="s">
        <v>178</v>
      </c>
      <c r="B3" s="33"/>
      <c r="C3" s="33"/>
      <c r="D3" s="33"/>
    </row>
    <row r="4" spans="1:4">
      <c r="A4" s="34" t="s">
        <v>179</v>
      </c>
      <c r="B4" s="35" t="s">
        <v>180</v>
      </c>
      <c r="C4" s="36"/>
      <c r="D4" s="36"/>
    </row>
    <row r="5" spans="1:4">
      <c r="A5" s="37"/>
      <c r="B5" s="38"/>
      <c r="C5" s="38"/>
      <c r="D5" s="38"/>
    </row>
    <row r="6" ht="15.75" spans="1:4">
      <c r="A6" s="39" t="s">
        <v>181</v>
      </c>
      <c r="B6" s="39"/>
      <c r="C6" s="39"/>
      <c r="D6" s="39"/>
    </row>
    <row r="7" ht="15.75" spans="1:4">
      <c r="A7" s="40" t="s">
        <v>42</v>
      </c>
      <c r="B7" s="41" t="s">
        <v>182</v>
      </c>
      <c r="C7" s="42" t="s">
        <v>183</v>
      </c>
      <c r="D7" s="42"/>
    </row>
    <row r="8" spans="1:4">
      <c r="A8" s="43" t="s">
        <v>45</v>
      </c>
      <c r="B8" s="44" t="s">
        <v>184</v>
      </c>
      <c r="C8" s="45" t="s">
        <v>185</v>
      </c>
      <c r="D8" s="45"/>
    </row>
    <row r="9" spans="1:4">
      <c r="A9" s="46" t="s">
        <v>48</v>
      </c>
      <c r="B9" s="47" t="s">
        <v>186</v>
      </c>
      <c r="C9" s="45" t="s">
        <v>187</v>
      </c>
      <c r="D9" s="45"/>
    </row>
    <row r="10" spans="1:4">
      <c r="A10" s="43" t="s">
        <v>53</v>
      </c>
      <c r="B10" s="44" t="s">
        <v>188</v>
      </c>
      <c r="C10" s="45" t="s">
        <v>189</v>
      </c>
      <c r="D10" s="45"/>
    </row>
    <row r="11" ht="15.75" spans="1:4">
      <c r="A11" s="48" t="s">
        <v>190</v>
      </c>
      <c r="B11" s="48"/>
      <c r="C11" s="48"/>
      <c r="D11" s="48"/>
    </row>
    <row r="12" ht="16.5" spans="1:4">
      <c r="A12" s="49" t="s">
        <v>191</v>
      </c>
      <c r="B12" s="49"/>
      <c r="C12" s="48" t="s">
        <v>192</v>
      </c>
      <c r="D12" s="50" t="s">
        <v>193</v>
      </c>
    </row>
    <row r="13" spans="1:4">
      <c r="A13" s="51" t="s">
        <v>232</v>
      </c>
      <c r="B13" s="51"/>
      <c r="C13" s="45" t="s">
        <v>195</v>
      </c>
      <c r="D13" s="52">
        <f>RESUMO!D4</f>
        <v>1</v>
      </c>
    </row>
    <row r="14" spans="1:4">
      <c r="A14" s="53"/>
      <c r="B14" s="53"/>
      <c r="C14" s="45"/>
      <c r="D14" s="54"/>
    </row>
    <row r="15" ht="15.75" spans="1:7">
      <c r="A15" s="48" t="s">
        <v>14</v>
      </c>
      <c r="B15" s="48"/>
      <c r="C15" s="48"/>
      <c r="D15" s="48"/>
      <c r="F15" s="55"/>
      <c r="G15" s="55"/>
    </row>
    <row r="16" ht="15.75" spans="1:4">
      <c r="A16" s="56" t="s">
        <v>16</v>
      </c>
      <c r="B16" t="s">
        <v>17</v>
      </c>
      <c r="C16" s="56" t="s">
        <v>18</v>
      </c>
      <c r="D16" s="56" t="s">
        <v>19</v>
      </c>
    </row>
    <row r="17" spans="1:4">
      <c r="A17" s="56">
        <v>1</v>
      </c>
      <c r="B17" t="s">
        <v>20</v>
      </c>
      <c r="C17" s="57" t="s">
        <v>102</v>
      </c>
      <c r="D17" s="57" t="str">
        <f>A13</f>
        <v>Transcritor de Sistema Braille</v>
      </c>
    </row>
    <row r="18" spans="1:4">
      <c r="A18" s="56">
        <v>2</v>
      </c>
      <c r="B18" t="s">
        <v>23</v>
      </c>
      <c r="C18" s="57" t="s">
        <v>196</v>
      </c>
      <c r="D18" s="57" t="s">
        <v>233</v>
      </c>
    </row>
    <row r="19" spans="1:4">
      <c r="A19" s="56">
        <v>3</v>
      </c>
      <c r="B19" t="s">
        <v>26</v>
      </c>
      <c r="C19" s="57" t="str">
        <f>C9</f>
        <v>CCT PB000047/2021</v>
      </c>
      <c r="D19" s="58">
        <v>1654.8</v>
      </c>
    </row>
    <row r="20" spans="1:4">
      <c r="A20" s="56">
        <v>4</v>
      </c>
      <c r="B20" t="s">
        <v>29</v>
      </c>
      <c r="C20" s="57" t="str">
        <f>C9</f>
        <v>CCT PB000047/2021</v>
      </c>
      <c r="D20" s="59" t="s">
        <v>198</v>
      </c>
    </row>
    <row r="21" spans="1:4">
      <c r="A21" s="56">
        <v>5</v>
      </c>
      <c r="B21" t="s">
        <v>33</v>
      </c>
      <c r="C21" s="57" t="str">
        <f>C9</f>
        <v>CCT PB000047/2021</v>
      </c>
      <c r="D21" s="60" t="s">
        <v>199</v>
      </c>
    </row>
    <row r="22" spans="6:7">
      <c r="F22" s="55"/>
      <c r="G22" s="55"/>
    </row>
    <row r="23" spans="1:4">
      <c r="A23" s="39" t="s">
        <v>36</v>
      </c>
      <c r="B23" s="39"/>
      <c r="C23" s="39"/>
      <c r="D23" s="39"/>
    </row>
    <row r="24" spans="1:7">
      <c r="A24" s="56" t="s">
        <v>39</v>
      </c>
      <c r="B24" s="61" t="s">
        <v>40</v>
      </c>
      <c r="C24" s="56" t="s">
        <v>18</v>
      </c>
      <c r="D24" s="56" t="s">
        <v>19</v>
      </c>
      <c r="G24" s="62"/>
    </row>
    <row r="25" spans="1:7">
      <c r="A25" s="56" t="s">
        <v>42</v>
      </c>
      <c r="B25" t="s">
        <v>43</v>
      </c>
      <c r="C25" s="63" t="s">
        <v>234</v>
      </c>
      <c r="D25" s="58">
        <f>D19</f>
        <v>1654.8</v>
      </c>
      <c r="G25" s="62"/>
    </row>
    <row r="26" spans="1:7">
      <c r="A26" s="56" t="s">
        <v>45</v>
      </c>
      <c r="B26" t="s">
        <v>46</v>
      </c>
      <c r="C26" s="59"/>
      <c r="D26" s="58">
        <v>0</v>
      </c>
      <c r="G26" s="62"/>
    </row>
    <row r="27" spans="1:4">
      <c r="A27" s="56" t="s">
        <v>48</v>
      </c>
      <c r="B27" t="s">
        <v>49</v>
      </c>
      <c r="C27" s="59"/>
      <c r="D27" s="58">
        <v>0</v>
      </c>
    </row>
    <row r="28" spans="1:4">
      <c r="A28" s="56" t="s">
        <v>50</v>
      </c>
      <c r="B28" t="s">
        <v>51</v>
      </c>
      <c r="C28" s="59"/>
      <c r="D28" s="58">
        <v>0</v>
      </c>
    </row>
    <row r="29" spans="1:4">
      <c r="A29" s="56" t="s">
        <v>53</v>
      </c>
      <c r="B29" t="s">
        <v>54</v>
      </c>
      <c r="C29" s="59"/>
      <c r="D29" s="58">
        <v>0</v>
      </c>
    </row>
    <row r="30" spans="1:4">
      <c r="A30" s="56" t="s">
        <v>55</v>
      </c>
      <c r="B30" t="s">
        <v>56</v>
      </c>
      <c r="C30" s="59"/>
      <c r="D30" s="58">
        <v>0</v>
      </c>
    </row>
    <row r="31" spans="1:7">
      <c r="A31" s="56" t="s">
        <v>58</v>
      </c>
      <c r="C31" s="56"/>
      <c r="D31" s="64">
        <f>TRUNC((SUM(D25:D30)),2)</f>
        <v>1654.8</v>
      </c>
      <c r="F31" s="55"/>
      <c r="G31" s="55"/>
    </row>
    <row r="33" spans="1:7">
      <c r="A33" s="65" t="s">
        <v>61</v>
      </c>
      <c r="B33" s="65"/>
      <c r="C33" s="65"/>
      <c r="D33" s="65"/>
      <c r="G33" s="62"/>
    </row>
    <row r="35" spans="1:4">
      <c r="A35" s="55" t="s">
        <v>63</v>
      </c>
      <c r="B35" s="55"/>
      <c r="C35" s="55"/>
      <c r="D35" s="55"/>
    </row>
    <row r="36" spans="1:4">
      <c r="A36" s="56" t="s">
        <v>65</v>
      </c>
      <c r="B36" s="61" t="s">
        <v>66</v>
      </c>
      <c r="C36" s="56" t="s">
        <v>38</v>
      </c>
      <c r="D36" s="56" t="s">
        <v>19</v>
      </c>
    </row>
    <row r="37" spans="1:7">
      <c r="A37" s="56" t="s">
        <v>42</v>
      </c>
      <c r="B37" t="s">
        <v>67</v>
      </c>
      <c r="C37" s="66">
        <f>(1/12)</f>
        <v>0.0833333333333333</v>
      </c>
      <c r="D37" s="64">
        <f>TRUNC($D$31*C37,2)</f>
        <v>137.9</v>
      </c>
      <c r="F37" s="67"/>
      <c r="G37" s="67"/>
    </row>
    <row r="38" spans="1:7">
      <c r="A38" s="56" t="s">
        <v>45</v>
      </c>
      <c r="B38" t="s">
        <v>68</v>
      </c>
      <c r="C38" s="66">
        <f>(((1+1/3)/12))</f>
        <v>0.111111111111111</v>
      </c>
      <c r="D38" s="64">
        <f>TRUNC($D$31*C38,2)</f>
        <v>183.86</v>
      </c>
      <c r="F38" s="67"/>
      <c r="G38" s="67"/>
    </row>
    <row r="39" spans="1:7">
      <c r="A39" s="56" t="s">
        <v>58</v>
      </c>
      <c r="D39" s="64">
        <f>TRUNC((SUM(D37:D38)),2)</f>
        <v>321.76</v>
      </c>
      <c r="F39" s="67"/>
      <c r="G39" s="67"/>
    </row>
    <row r="40" ht="15.75" spans="4:7">
      <c r="D40" s="64"/>
      <c r="F40" s="67"/>
      <c r="G40" s="67"/>
    </row>
    <row r="41" ht="16.5" spans="1:7">
      <c r="A41" s="68" t="s">
        <v>201</v>
      </c>
      <c r="B41" s="68"/>
      <c r="C41" s="69" t="s">
        <v>202</v>
      </c>
      <c r="D41" s="70">
        <f>D31</f>
        <v>1654.8</v>
      </c>
      <c r="F41" s="67"/>
      <c r="G41" s="67"/>
    </row>
    <row r="42" ht="16.5" spans="1:7">
      <c r="A42" s="68"/>
      <c r="B42" s="68"/>
      <c r="C42" s="71" t="s">
        <v>203</v>
      </c>
      <c r="D42" s="70">
        <f>D39</f>
        <v>321.76</v>
      </c>
      <c r="F42" s="67"/>
      <c r="G42" s="67"/>
    </row>
    <row r="43" ht="16.5" spans="1:7">
      <c r="A43" s="68"/>
      <c r="B43" s="68"/>
      <c r="C43" s="69" t="s">
        <v>204</v>
      </c>
      <c r="D43" s="72">
        <f>TRUNC((SUM(D41:D42)),2)</f>
        <v>1976.56</v>
      </c>
      <c r="F43" s="67"/>
      <c r="G43" s="67"/>
    </row>
    <row r="44" ht="15.75" spans="1:7">
      <c r="A44" s="56"/>
      <c r="C44" s="73"/>
      <c r="D44" s="64"/>
      <c r="F44" s="67"/>
      <c r="G44" s="67"/>
    </row>
    <row r="45" spans="1:4">
      <c r="A45" s="55" t="s">
        <v>77</v>
      </c>
      <c r="B45" s="55"/>
      <c r="C45" s="55"/>
      <c r="D45" s="55"/>
    </row>
    <row r="46" spans="1:4">
      <c r="A46" s="56" t="s">
        <v>78</v>
      </c>
      <c r="B46" s="61" t="s">
        <v>79</v>
      </c>
      <c r="C46" s="56" t="s">
        <v>38</v>
      </c>
      <c r="D46" s="56" t="s">
        <v>80</v>
      </c>
    </row>
    <row r="47" spans="1:4">
      <c r="A47" s="56" t="s">
        <v>42</v>
      </c>
      <c r="B47" t="s">
        <v>81</v>
      </c>
      <c r="C47" s="66">
        <v>0.2</v>
      </c>
      <c r="D47" s="64">
        <f t="shared" ref="D47:D54" si="0">TRUNC(($D$43*C47),2)</f>
        <v>395.31</v>
      </c>
    </row>
    <row r="48" spans="1:4">
      <c r="A48" s="56" t="s">
        <v>45</v>
      </c>
      <c r="B48" t="s">
        <v>82</v>
      </c>
      <c r="C48" s="66">
        <v>0.025</v>
      </c>
      <c r="D48" s="64">
        <f t="shared" si="0"/>
        <v>49.41</v>
      </c>
    </row>
    <row r="49" spans="1:4">
      <c r="A49" s="56" t="s">
        <v>48</v>
      </c>
      <c r="B49" t="s">
        <v>205</v>
      </c>
      <c r="C49" s="74">
        <v>0.06</v>
      </c>
      <c r="D49" s="58">
        <f t="shared" si="0"/>
        <v>118.59</v>
      </c>
    </row>
    <row r="50" spans="1:4">
      <c r="A50" s="56" t="s">
        <v>50</v>
      </c>
      <c r="B50" t="s">
        <v>84</v>
      </c>
      <c r="C50" s="66">
        <v>0.015</v>
      </c>
      <c r="D50" s="64">
        <f t="shared" si="0"/>
        <v>29.64</v>
      </c>
    </row>
    <row r="51" spans="1:4">
      <c r="A51" s="56" t="s">
        <v>53</v>
      </c>
      <c r="B51" t="s">
        <v>85</v>
      </c>
      <c r="C51" s="66">
        <v>0.01</v>
      </c>
      <c r="D51" s="64">
        <f t="shared" si="0"/>
        <v>19.76</v>
      </c>
    </row>
    <row r="52" spans="1:4">
      <c r="A52" s="56" t="s">
        <v>55</v>
      </c>
      <c r="B52" t="s">
        <v>86</v>
      </c>
      <c r="C52" s="66">
        <v>0.006</v>
      </c>
      <c r="D52" s="64">
        <f t="shared" si="0"/>
        <v>11.85</v>
      </c>
    </row>
    <row r="53" spans="1:4">
      <c r="A53" s="56" t="s">
        <v>87</v>
      </c>
      <c r="B53" t="s">
        <v>88</v>
      </c>
      <c r="C53" s="66">
        <v>0.002</v>
      </c>
      <c r="D53" s="64">
        <f t="shared" si="0"/>
        <v>3.95</v>
      </c>
    </row>
    <row r="54" spans="1:4">
      <c r="A54" s="56" t="s">
        <v>89</v>
      </c>
      <c r="B54" t="s">
        <v>90</v>
      </c>
      <c r="C54" s="66">
        <v>0.08</v>
      </c>
      <c r="D54" s="64">
        <f t="shared" si="0"/>
        <v>158.12</v>
      </c>
    </row>
    <row r="55" spans="1:4">
      <c r="A55" s="56" t="s">
        <v>58</v>
      </c>
      <c r="C55" s="73">
        <f>SUM(C47:C54)</f>
        <v>0.398</v>
      </c>
      <c r="D55" s="64">
        <f>TRUNC(SUM(D47:D54),2)</f>
        <v>786.63</v>
      </c>
    </row>
    <row r="56" spans="1:4">
      <c r="A56" s="56"/>
      <c r="C56" s="73"/>
      <c r="D56" s="64"/>
    </row>
    <row r="57" spans="1:4">
      <c r="A57" s="55" t="s">
        <v>95</v>
      </c>
      <c r="B57" s="55"/>
      <c r="C57" s="55"/>
      <c r="D57" s="55"/>
    </row>
    <row r="58" spans="1:4">
      <c r="A58" s="56" t="s">
        <v>96</v>
      </c>
      <c r="B58" s="61" t="s">
        <v>97</v>
      </c>
      <c r="C58" s="56" t="s">
        <v>18</v>
      </c>
      <c r="D58" s="56" t="s">
        <v>19</v>
      </c>
    </row>
    <row r="59" spans="1:4">
      <c r="A59" s="56" t="s">
        <v>42</v>
      </c>
      <c r="B59" t="s">
        <v>98</v>
      </c>
      <c r="C59" s="57"/>
      <c r="D59" s="75">
        <f>TRUNC(((22*4.15)*2)-((D25/100)*6),2)</f>
        <v>83.31</v>
      </c>
    </row>
    <row r="60" spans="1:4">
      <c r="A60" s="56" t="s">
        <v>45</v>
      </c>
      <c r="B60" t="s">
        <v>99</v>
      </c>
      <c r="C60" s="57" t="str">
        <f>C9</f>
        <v>CCT PB000047/2021</v>
      </c>
      <c r="D60" s="58">
        <f>TRUNC((((22*18))-(((22*18))*0.2)),2)</f>
        <v>316.8</v>
      </c>
    </row>
    <row r="61" spans="1:4">
      <c r="A61" s="56" t="s">
        <v>48</v>
      </c>
      <c r="B61" t="s">
        <v>100</v>
      </c>
      <c r="C61" s="57"/>
      <c r="D61" s="58">
        <v>0</v>
      </c>
    </row>
    <row r="62" spans="1:6">
      <c r="A62" s="76" t="s">
        <v>50</v>
      </c>
      <c r="B62" s="77" t="s">
        <v>206</v>
      </c>
      <c r="C62" s="78"/>
      <c r="D62" s="78">
        <v>0</v>
      </c>
      <c r="F62" s="77"/>
    </row>
    <row r="63" spans="1:4">
      <c r="A63" s="56" t="s">
        <v>53</v>
      </c>
      <c r="B63" s="61" t="s">
        <v>207</v>
      </c>
      <c r="C63" s="57" t="str">
        <f>C60</f>
        <v>CCT PB000047/2021</v>
      </c>
      <c r="D63" s="58">
        <v>15</v>
      </c>
    </row>
    <row r="64" spans="1:4">
      <c r="A64" s="56" t="s">
        <v>55</v>
      </c>
      <c r="B64" s="79" t="s">
        <v>208</v>
      </c>
      <c r="C64" s="78" t="str">
        <f>C60</f>
        <v>CCT PB000047/2021</v>
      </c>
      <c r="D64" s="58">
        <v>5</v>
      </c>
    </row>
    <row r="65" spans="1:4">
      <c r="A65" s="56" t="s">
        <v>58</v>
      </c>
      <c r="D65" s="64">
        <f>TRUNC((SUM(D59:D64)),2)</f>
        <v>420.11</v>
      </c>
    </row>
    <row r="66" spans="1:4">
      <c r="A66" s="56"/>
      <c r="D66" s="64"/>
    </row>
    <row r="67" spans="1:4">
      <c r="A67" s="55" t="s">
        <v>105</v>
      </c>
      <c r="B67" s="55"/>
      <c r="C67" s="55"/>
      <c r="D67" s="55"/>
    </row>
    <row r="68" spans="1:4">
      <c r="A68" s="56" t="s">
        <v>106</v>
      </c>
      <c r="B68" s="61" t="s">
        <v>107</v>
      </c>
      <c r="C68" s="56" t="s">
        <v>18</v>
      </c>
      <c r="D68" s="56" t="s">
        <v>19</v>
      </c>
    </row>
    <row r="69" spans="1:4">
      <c r="A69" s="56" t="s">
        <v>65</v>
      </c>
      <c r="B69" t="s">
        <v>66</v>
      </c>
      <c r="C69" s="56"/>
      <c r="D69" s="64">
        <f>D39</f>
        <v>321.76</v>
      </c>
    </row>
    <row r="70" spans="1:4">
      <c r="A70" s="56" t="s">
        <v>78</v>
      </c>
      <c r="B70" t="s">
        <v>79</v>
      </c>
      <c r="C70" s="56"/>
      <c r="D70" s="64">
        <f>D55</f>
        <v>786.63</v>
      </c>
    </row>
    <row r="71" spans="1:4">
      <c r="A71" s="56" t="s">
        <v>96</v>
      </c>
      <c r="B71" t="s">
        <v>97</v>
      </c>
      <c r="C71" s="56"/>
      <c r="D71" s="64">
        <f>D65</f>
        <v>420.11</v>
      </c>
    </row>
    <row r="72" spans="1:4">
      <c r="A72" s="56" t="s">
        <v>58</v>
      </c>
      <c r="C72" s="56"/>
      <c r="D72" s="64">
        <f>TRUNC((SUM(D69:D71)),2)</f>
        <v>1528.5</v>
      </c>
    </row>
    <row r="74" spans="1:4">
      <c r="A74" s="39" t="s">
        <v>108</v>
      </c>
      <c r="B74" s="39"/>
      <c r="C74" s="39"/>
      <c r="D74" s="39"/>
    </row>
    <row r="75" spans="1:4">
      <c r="A75" s="56" t="s">
        <v>109</v>
      </c>
      <c r="B75" s="61" t="s">
        <v>110</v>
      </c>
      <c r="C75" s="56" t="s">
        <v>38</v>
      </c>
      <c r="D75" s="56" t="s">
        <v>19</v>
      </c>
    </row>
    <row r="76" spans="1:4">
      <c r="A76" s="56" t="s">
        <v>42</v>
      </c>
      <c r="B76" t="s">
        <v>111</v>
      </c>
      <c r="C76" s="74">
        <f>((1/12)*5%)</f>
        <v>0.00416666666666667</v>
      </c>
      <c r="D76" s="58">
        <f>TRUNC(($D$31*C76),2)</f>
        <v>6.89</v>
      </c>
    </row>
    <row r="77" spans="1:4">
      <c r="A77" s="56" t="s">
        <v>45</v>
      </c>
      <c r="B77" t="s">
        <v>112</v>
      </c>
      <c r="C77" s="80">
        <v>0.08</v>
      </c>
      <c r="D77" s="64">
        <f>TRUNC(($D$76*C77),2)</f>
        <v>0.55</v>
      </c>
    </row>
    <row r="78" ht="30" spans="1:4">
      <c r="A78" s="56" t="s">
        <v>48</v>
      </c>
      <c r="B78" s="81" t="s">
        <v>113</v>
      </c>
      <c r="C78" s="82">
        <f>(0.08*0.4*0.05)</f>
        <v>0.0016</v>
      </c>
      <c r="D78" s="78">
        <f>TRUNC(($D$31*C78),2)</f>
        <v>2.64</v>
      </c>
    </row>
    <row r="79" spans="1:4">
      <c r="A79" s="56" t="s">
        <v>50</v>
      </c>
      <c r="B79" t="s">
        <v>114</v>
      </c>
      <c r="C79" s="83">
        <f>(((7/30)/12)*0.95)</f>
        <v>0.0184722222222222</v>
      </c>
      <c r="D79" s="84">
        <f>TRUNC(($D$31*C79),2)</f>
        <v>30.56</v>
      </c>
    </row>
    <row r="80" ht="30" spans="1:4">
      <c r="A80" s="56" t="s">
        <v>53</v>
      </c>
      <c r="B80" s="81" t="s">
        <v>209</v>
      </c>
      <c r="C80" s="82">
        <f>C55</f>
        <v>0.398</v>
      </c>
      <c r="D80" s="78">
        <f>TRUNC(($D$79*C80),2)</f>
        <v>12.16</v>
      </c>
    </row>
    <row r="81" ht="30" spans="1:4">
      <c r="A81" s="56" t="s">
        <v>55</v>
      </c>
      <c r="B81" s="81" t="s">
        <v>115</v>
      </c>
      <c r="C81" s="83">
        <f>(0.08*0.4*0.95)</f>
        <v>0.0304</v>
      </c>
      <c r="D81" s="85">
        <f>TRUNC(($D$31*C81),2)</f>
        <v>50.3</v>
      </c>
    </row>
    <row r="82" spans="1:4">
      <c r="A82" s="56" t="s">
        <v>58</v>
      </c>
      <c r="C82" s="80">
        <f>SUM(C76:C81)</f>
        <v>0.532638888888889</v>
      </c>
      <c r="D82" s="64">
        <f>TRUNC((SUM(D76:D81)),2)</f>
        <v>103.1</v>
      </c>
    </row>
    <row r="83" ht="15.75" spans="1:4">
      <c r="A83" s="56"/>
      <c r="D83" s="64"/>
    </row>
    <row r="84" ht="16.5" spans="1:4">
      <c r="A84" s="68" t="s">
        <v>210</v>
      </c>
      <c r="B84" s="68"/>
      <c r="C84" s="69" t="s">
        <v>202</v>
      </c>
      <c r="D84" s="70">
        <f>D31</f>
        <v>1654.8</v>
      </c>
    </row>
    <row r="85" ht="16.5" spans="1:4">
      <c r="A85" s="68"/>
      <c r="B85" s="68"/>
      <c r="C85" s="71" t="s">
        <v>211</v>
      </c>
      <c r="D85" s="70">
        <f>D72</f>
        <v>1528.5</v>
      </c>
    </row>
    <row r="86" ht="16.5" spans="1:4">
      <c r="A86" s="68"/>
      <c r="B86" s="68"/>
      <c r="C86" s="69" t="s">
        <v>212</v>
      </c>
      <c r="D86" s="70">
        <f>D82</f>
        <v>103.1</v>
      </c>
    </row>
    <row r="87" ht="16.5" spans="1:4">
      <c r="A87" s="68"/>
      <c r="B87" s="68"/>
      <c r="C87" s="71" t="s">
        <v>204</v>
      </c>
      <c r="D87" s="72">
        <f>TRUNC((SUM(D84:D86)),2)</f>
        <v>3286.4</v>
      </c>
    </row>
    <row r="88" ht="15.75" spans="1:4">
      <c r="A88" s="56"/>
      <c r="D88" s="64"/>
    </row>
    <row r="89" spans="1:4">
      <c r="A89" s="86" t="s">
        <v>127</v>
      </c>
      <c r="B89" s="86"/>
      <c r="C89" s="86"/>
      <c r="D89" s="86"/>
    </row>
    <row r="90" spans="1:4">
      <c r="A90" s="55" t="s">
        <v>128</v>
      </c>
      <c r="B90" s="55"/>
      <c r="C90" s="55"/>
      <c r="D90" s="55"/>
    </row>
    <row r="91" spans="1:4">
      <c r="A91" s="56" t="s">
        <v>129</v>
      </c>
      <c r="B91" s="61" t="s">
        <v>130</v>
      </c>
      <c r="C91" s="56" t="s">
        <v>38</v>
      </c>
      <c r="D91" s="56" t="s">
        <v>19</v>
      </c>
    </row>
    <row r="92" spans="1:4">
      <c r="A92" s="56" t="s">
        <v>42</v>
      </c>
      <c r="B92" t="s">
        <v>213</v>
      </c>
      <c r="C92" s="80">
        <f>(((1+1/3)/12)/12)+((1/12)/12)</f>
        <v>0.0162037037037037</v>
      </c>
      <c r="D92" s="64">
        <f>TRUNC(($D$87*C92),2)</f>
        <v>53.25</v>
      </c>
    </row>
    <row r="93" spans="1:4">
      <c r="A93" s="56" t="s">
        <v>45</v>
      </c>
      <c r="B93" t="s">
        <v>133</v>
      </c>
      <c r="C93" s="74">
        <f>((2/30)/12)</f>
        <v>0.00555555555555556</v>
      </c>
      <c r="D93" s="78">
        <f t="shared" ref="D92:D96" si="1">TRUNC(($D$87*C93),2)</f>
        <v>18.25</v>
      </c>
    </row>
    <row r="94" spans="1:4">
      <c r="A94" s="56" t="s">
        <v>48</v>
      </c>
      <c r="B94" t="s">
        <v>134</v>
      </c>
      <c r="C94" s="74">
        <f>((5/30)/12)*0.02</f>
        <v>0.000277777777777778</v>
      </c>
      <c r="D94" s="78">
        <f t="shared" si="1"/>
        <v>0.91</v>
      </c>
    </row>
    <row r="95" ht="30" spans="1:4">
      <c r="A95" s="76" t="s">
        <v>50</v>
      </c>
      <c r="B95" s="81" t="s">
        <v>135</v>
      </c>
      <c r="C95" s="82">
        <f>((15/30)/12)*0.08</f>
        <v>0.00333333333333333</v>
      </c>
      <c r="D95" s="78">
        <f t="shared" si="1"/>
        <v>10.95</v>
      </c>
    </row>
    <row r="96" spans="1:4">
      <c r="A96" s="56" t="s">
        <v>53</v>
      </c>
      <c r="B96" t="s">
        <v>136</v>
      </c>
      <c r="C96" s="74">
        <f>((1+1/3)/12)*0.03*((4/12))</f>
        <v>0.00111111111111111</v>
      </c>
      <c r="D96" s="78">
        <f t="shared" si="1"/>
        <v>3.65</v>
      </c>
    </row>
    <row r="97" ht="30" spans="1:4">
      <c r="A97" s="56" t="s">
        <v>55</v>
      </c>
      <c r="B97" s="81" t="s">
        <v>214</v>
      </c>
      <c r="C97" s="87">
        <v>0</v>
      </c>
      <c r="D97" s="78">
        <f>TRUNC($D$87*C97)</f>
        <v>0</v>
      </c>
    </row>
    <row r="98" spans="1:4">
      <c r="A98" s="56" t="s">
        <v>58</v>
      </c>
      <c r="C98" s="80">
        <f>SUM(C92:C97)</f>
        <v>0.0264814814814815</v>
      </c>
      <c r="D98" s="64">
        <f>TRUNC((SUM(D92:D97)),2)</f>
        <v>87.01</v>
      </c>
    </row>
    <row r="99" spans="1:4">
      <c r="A99" s="56"/>
      <c r="C99" s="56"/>
      <c r="D99" s="64"/>
    </row>
    <row r="100" spans="1:4">
      <c r="A100" s="55" t="s">
        <v>144</v>
      </c>
      <c r="B100" s="55"/>
      <c r="C100" s="55"/>
      <c r="D100" s="55"/>
    </row>
    <row r="101" spans="1:4">
      <c r="A101" s="56" t="s">
        <v>145</v>
      </c>
      <c r="B101" s="61" t="s">
        <v>146</v>
      </c>
      <c r="C101" s="56" t="s">
        <v>18</v>
      </c>
      <c r="D101" s="56" t="s">
        <v>19</v>
      </c>
    </row>
    <row r="102" ht="105" spans="1:4">
      <c r="A102" s="76" t="s">
        <v>42</v>
      </c>
      <c r="B102" s="88" t="s">
        <v>147</v>
      </c>
      <c r="C102" s="89" t="s">
        <v>215</v>
      </c>
      <c r="D102" s="90" t="s">
        <v>216</v>
      </c>
    </row>
    <row r="103" spans="1:4">
      <c r="A103" s="56" t="s">
        <v>58</v>
      </c>
      <c r="C103" s="91"/>
      <c r="D103" s="92" t="str">
        <f>D102</f>
        <v>*=TRUNCAR(($D$86/220)*(1*(365/12))/2)</v>
      </c>
    </row>
    <row r="105" spans="1:4">
      <c r="A105" s="55" t="s">
        <v>148</v>
      </c>
      <c r="B105" s="55"/>
      <c r="C105" s="55"/>
      <c r="D105" s="55"/>
    </row>
    <row r="106" spans="1:4">
      <c r="A106" s="56" t="s">
        <v>149</v>
      </c>
      <c r="B106" s="61" t="s">
        <v>150</v>
      </c>
      <c r="C106" s="56" t="s">
        <v>18</v>
      </c>
      <c r="D106" s="56" t="s">
        <v>19</v>
      </c>
    </row>
    <row r="107" spans="1:4">
      <c r="A107" s="56" t="s">
        <v>129</v>
      </c>
      <c r="B107" t="s">
        <v>130</v>
      </c>
      <c r="D107" s="58">
        <f>D98</f>
        <v>87.01</v>
      </c>
    </row>
    <row r="108" spans="1:4">
      <c r="A108" s="56" t="s">
        <v>145</v>
      </c>
      <c r="B108" t="s">
        <v>151</v>
      </c>
      <c r="C108" s="61"/>
      <c r="D108" s="93" t="str">
        <f>Submódulo4.260_55107[[#Totals],[Valor]]</f>
        <v>*=TRUNCAR(($D$86/220)*(1*(365/12))/2)</v>
      </c>
    </row>
    <row r="109" ht="75" spans="1:4">
      <c r="A109" s="76" t="s">
        <v>58</v>
      </c>
      <c r="B109" s="77"/>
      <c r="C109" s="89" t="s">
        <v>217</v>
      </c>
      <c r="D109" s="94">
        <f>TRUNC((SUM(D107:D108)),2)</f>
        <v>87.01</v>
      </c>
    </row>
    <row r="111" spans="1:4">
      <c r="A111" s="39" t="s">
        <v>152</v>
      </c>
      <c r="B111" s="39"/>
      <c r="C111" s="39"/>
      <c r="D111" s="39"/>
    </row>
    <row r="112" ht="37" customHeight="1" spans="1:4">
      <c r="A112" s="76" t="s">
        <v>153</v>
      </c>
      <c r="B112" s="77" t="s">
        <v>154</v>
      </c>
      <c r="C112" s="76" t="s">
        <v>18</v>
      </c>
      <c r="D112" s="76" t="s">
        <v>19</v>
      </c>
    </row>
    <row r="113" spans="1:4">
      <c r="A113" s="56" t="s">
        <v>42</v>
      </c>
      <c r="B113" t="s">
        <v>218</v>
      </c>
      <c r="D113" s="95">
        <f>Uniformes!G12</f>
        <v>87.37</v>
      </c>
    </row>
    <row r="114" spans="1:4">
      <c r="A114" s="56" t="s">
        <v>45</v>
      </c>
      <c r="B114" t="s">
        <v>219</v>
      </c>
      <c r="D114" s="58">
        <v>0</v>
      </c>
    </row>
    <row r="115" spans="1:4">
      <c r="A115" s="56" t="s">
        <v>48</v>
      </c>
      <c r="B115" t="s">
        <v>156</v>
      </c>
      <c r="D115" s="58">
        <v>0</v>
      </c>
    </row>
    <row r="116" spans="1:4">
      <c r="A116" s="56" t="s">
        <v>50</v>
      </c>
      <c r="B116" t="s">
        <v>157</v>
      </c>
      <c r="D116" s="58">
        <v>0</v>
      </c>
    </row>
    <row r="117" spans="1:4">
      <c r="A117" s="56" t="s">
        <v>53</v>
      </c>
      <c r="B117" t="s">
        <v>220</v>
      </c>
      <c r="C117" s="56"/>
      <c r="D117" s="58">
        <v>0</v>
      </c>
    </row>
    <row r="118" spans="1:4">
      <c r="A118" s="56" t="s">
        <v>58</v>
      </c>
      <c r="D118" s="64">
        <f>TRUNC(SUM(D113:D117),2)</f>
        <v>87.37</v>
      </c>
    </row>
    <row r="120" ht="16.5" spans="1:4">
      <c r="A120" s="68" t="s">
        <v>221</v>
      </c>
      <c r="B120" s="68"/>
      <c r="C120" s="69" t="s">
        <v>202</v>
      </c>
      <c r="D120" s="70">
        <f>D31</f>
        <v>1654.8</v>
      </c>
    </row>
    <row r="121" ht="16.5" spans="1:4">
      <c r="A121" s="68"/>
      <c r="B121" s="68"/>
      <c r="C121" s="71" t="s">
        <v>211</v>
      </c>
      <c r="D121" s="70">
        <f>D72</f>
        <v>1528.5</v>
      </c>
    </row>
    <row r="122" ht="16.5" spans="1:4">
      <c r="A122" s="68"/>
      <c r="B122" s="68"/>
      <c r="C122" s="69" t="s">
        <v>212</v>
      </c>
      <c r="D122" s="70">
        <f>D82</f>
        <v>103.1</v>
      </c>
    </row>
    <row r="123" ht="16.5" spans="1:4">
      <c r="A123" s="68"/>
      <c r="B123" s="68"/>
      <c r="C123" s="71" t="s">
        <v>222</v>
      </c>
      <c r="D123" s="70">
        <f>D109</f>
        <v>87.01</v>
      </c>
    </row>
    <row r="124" ht="16.5" spans="1:4">
      <c r="A124" s="68"/>
      <c r="B124" s="68"/>
      <c r="C124" s="69" t="s">
        <v>223</v>
      </c>
      <c r="D124" s="70">
        <f>D118</f>
        <v>87.37</v>
      </c>
    </row>
    <row r="125" ht="16.5" spans="1:4">
      <c r="A125" s="68"/>
      <c r="B125" s="68"/>
      <c r="C125" s="71" t="s">
        <v>204</v>
      </c>
      <c r="D125" s="72">
        <f>TRUNC((SUM(D120:D124)),2)</f>
        <v>3460.78</v>
      </c>
    </row>
    <row r="126" ht="15.75"/>
    <row r="127" spans="1:4">
      <c r="A127" s="39" t="s">
        <v>164</v>
      </c>
      <c r="B127" s="39"/>
      <c r="C127" s="39"/>
      <c r="D127" s="39"/>
    </row>
    <row r="128" spans="1:7">
      <c r="A128" s="56" t="s">
        <v>165</v>
      </c>
      <c r="B128" t="s">
        <v>166</v>
      </c>
      <c r="C128" s="56" t="s">
        <v>38</v>
      </c>
      <c r="D128" s="56" t="s">
        <v>19</v>
      </c>
      <c r="F128" s="96" t="s">
        <v>224</v>
      </c>
      <c r="G128" s="96"/>
    </row>
    <row r="129" ht="15.75" spans="1:7">
      <c r="A129" s="56" t="s">
        <v>42</v>
      </c>
      <c r="B129" t="s">
        <v>167</v>
      </c>
      <c r="C129" s="97">
        <v>0.0404</v>
      </c>
      <c r="D129" s="95">
        <f>TRUNC(($D$125*C129),2)</f>
        <v>139.81</v>
      </c>
      <c r="F129" s="98" t="s">
        <v>225</v>
      </c>
      <c r="G129" s="82">
        <f>C131</f>
        <v>0.0865</v>
      </c>
    </row>
    <row r="130" ht="15.75" spans="1:7">
      <c r="A130" s="56" t="s">
        <v>45</v>
      </c>
      <c r="B130" t="s">
        <v>59</v>
      </c>
      <c r="C130" s="97">
        <v>0.035</v>
      </c>
      <c r="D130" s="95">
        <f>TRUNC((C130*(D125+D129)),2)</f>
        <v>126.02</v>
      </c>
      <c r="F130" s="99" t="s">
        <v>226</v>
      </c>
      <c r="G130" s="100">
        <f>TRUNC(SUM(D125,D129,D130),2)</f>
        <v>3726.61</v>
      </c>
    </row>
    <row r="131" spans="1:7">
      <c r="A131" s="56" t="s">
        <v>48</v>
      </c>
      <c r="B131" t="s">
        <v>168</v>
      </c>
      <c r="C131" s="74">
        <f>SUM(C132:C134)</f>
        <v>0.0865</v>
      </c>
      <c r="D131" s="58">
        <f>SUM(D132:D134)</f>
        <v>352.86</v>
      </c>
      <c r="F131" s="98" t="s">
        <v>227</v>
      </c>
      <c r="G131" s="101">
        <f>(100-8.65)/100</f>
        <v>0.9135</v>
      </c>
    </row>
    <row r="132" ht="15.75" spans="1:7">
      <c r="A132" s="56"/>
      <c r="B132" t="s">
        <v>228</v>
      </c>
      <c r="C132" s="74">
        <v>0.0065</v>
      </c>
      <c r="D132" s="58">
        <f t="shared" ref="D132:D134" si="2">TRUNC(($G$132*C132),2)</f>
        <v>26.51</v>
      </c>
      <c r="F132" s="99" t="s">
        <v>224</v>
      </c>
      <c r="G132" s="100">
        <f>TRUNC((G130/G131),2)</f>
        <v>4079.48</v>
      </c>
    </row>
    <row r="133" ht="15.75" spans="1:4">
      <c r="A133" s="56"/>
      <c r="B133" t="s">
        <v>229</v>
      </c>
      <c r="C133" s="74">
        <v>0.03</v>
      </c>
      <c r="D133" s="58">
        <f t="shared" si="2"/>
        <v>122.38</v>
      </c>
    </row>
    <row r="134" spans="1:4">
      <c r="A134" s="56"/>
      <c r="B134" t="s">
        <v>230</v>
      </c>
      <c r="C134" s="74">
        <v>0.05</v>
      </c>
      <c r="D134" s="58">
        <f t="shared" si="2"/>
        <v>203.97</v>
      </c>
    </row>
    <row r="135" spans="1:4">
      <c r="A135" s="56" t="s">
        <v>58</v>
      </c>
      <c r="B135" s="102"/>
      <c r="C135" s="103"/>
      <c r="D135" s="64">
        <f>SUM(D129:D131)</f>
        <v>618.69</v>
      </c>
    </row>
    <row r="136" spans="1:4">
      <c r="A136" s="56"/>
      <c r="C136" s="103"/>
      <c r="D136" s="64"/>
    </row>
    <row r="138" spans="1:4">
      <c r="A138" s="39" t="s">
        <v>172</v>
      </c>
      <c r="B138" s="39"/>
      <c r="C138" s="39"/>
      <c r="D138" s="39"/>
    </row>
    <row r="139" spans="1:4">
      <c r="A139" s="56" t="s">
        <v>16</v>
      </c>
      <c r="B139" s="56" t="s">
        <v>173</v>
      </c>
      <c r="C139" s="56" t="s">
        <v>102</v>
      </c>
      <c r="D139" s="56" t="s">
        <v>19</v>
      </c>
    </row>
    <row r="140" spans="1:4">
      <c r="A140" s="56" t="s">
        <v>42</v>
      </c>
      <c r="B140" t="s">
        <v>36</v>
      </c>
      <c r="D140" s="64">
        <f>D31</f>
        <v>1654.8</v>
      </c>
    </row>
    <row r="141" spans="1:4">
      <c r="A141" s="56" t="s">
        <v>45</v>
      </c>
      <c r="B141" t="s">
        <v>61</v>
      </c>
      <c r="D141" s="64">
        <f>D72</f>
        <v>1528.5</v>
      </c>
    </row>
    <row r="142" spans="1:4">
      <c r="A142" s="56" t="s">
        <v>48</v>
      </c>
      <c r="B142" t="s">
        <v>108</v>
      </c>
      <c r="D142" s="64">
        <f>D82</f>
        <v>103.1</v>
      </c>
    </row>
    <row r="143" spans="1:4">
      <c r="A143" s="56" t="s">
        <v>50</v>
      </c>
      <c r="B143" t="s">
        <v>174</v>
      </c>
      <c r="D143" s="64">
        <f>D109</f>
        <v>87.01</v>
      </c>
    </row>
    <row r="144" spans="1:4">
      <c r="A144" s="56" t="s">
        <v>53</v>
      </c>
      <c r="B144" t="s">
        <v>152</v>
      </c>
      <c r="D144" s="64">
        <f>D118</f>
        <v>87.37</v>
      </c>
    </row>
    <row r="145" spans="2:4">
      <c r="B145" s="104" t="s">
        <v>175</v>
      </c>
      <c r="D145" s="64">
        <f>SUM(D140:D144)</f>
        <v>3460.78</v>
      </c>
    </row>
    <row r="146" spans="1:4">
      <c r="A146" s="56" t="s">
        <v>55</v>
      </c>
      <c r="B146" t="s">
        <v>164</v>
      </c>
      <c r="D146" s="64">
        <f>D135</f>
        <v>618.69</v>
      </c>
    </row>
    <row r="147" spans="1:4">
      <c r="A147" s="105"/>
      <c r="B147" s="106" t="s">
        <v>231</v>
      </c>
      <c r="C147" s="105"/>
      <c r="D147" s="107">
        <f>TRUNC((SUM(D140:D144)+D146),2)</f>
        <v>4079.47</v>
      </c>
    </row>
  </sheetData>
  <mergeCells count="33">
    <mergeCell ref="A2:D2"/>
    <mergeCell ref="A3:D3"/>
    <mergeCell ref="A6:D6"/>
    <mergeCell ref="C7:D7"/>
    <mergeCell ref="C8:D8"/>
    <mergeCell ref="C9:D9"/>
    <mergeCell ref="C10:D10"/>
    <mergeCell ref="A11:D11"/>
    <mergeCell ref="A12:B12"/>
    <mergeCell ref="A13:B13"/>
    <mergeCell ref="A14:B14"/>
    <mergeCell ref="A15:D15"/>
    <mergeCell ref="F15:G15"/>
    <mergeCell ref="F22:G22"/>
    <mergeCell ref="A23:D23"/>
    <mergeCell ref="F31:G31"/>
    <mergeCell ref="A33:D33"/>
    <mergeCell ref="A35:D35"/>
    <mergeCell ref="A45:D45"/>
    <mergeCell ref="A57:D57"/>
    <mergeCell ref="A67:D67"/>
    <mergeCell ref="A74:D74"/>
    <mergeCell ref="A89:D89"/>
    <mergeCell ref="A90:D90"/>
    <mergeCell ref="A100:D100"/>
    <mergeCell ref="A105:D105"/>
    <mergeCell ref="A111:D111"/>
    <mergeCell ref="A127:D127"/>
    <mergeCell ref="F128:G128"/>
    <mergeCell ref="A138:D138"/>
    <mergeCell ref="A41:B43"/>
    <mergeCell ref="A84:B87"/>
    <mergeCell ref="A120:B125"/>
  </mergeCells>
  <pageMargins left="0.75" right="0.75" top="1" bottom="1" header="0.5" footer="0.5"/>
  <pageSetup paperSize="9" orientation="landscape"/>
  <headerFooter/>
  <tableParts count="13">
    <tablePart r:id="rId1"/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</tablePart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G147"/>
  <sheetViews>
    <sheetView workbookViewId="0">
      <selection activeCell="D148" sqref="A1:D148"/>
    </sheetView>
  </sheetViews>
  <sheetFormatPr defaultColWidth="9.14285714285714" defaultRowHeight="15" outlineLevelCol="6"/>
  <cols>
    <col min="1" max="1" width="10.5714285714286" customWidth="1"/>
    <col min="2" max="2" width="56.5714285714286" customWidth="1"/>
    <col min="3" max="3" width="20.2857142857143" customWidth="1"/>
    <col min="4" max="4" width="32.4285714285714" customWidth="1"/>
    <col min="6" max="6" width="22.8571428571429" customWidth="1"/>
    <col min="7" max="7" width="11.4285714285714" customWidth="1"/>
  </cols>
  <sheetData>
    <row r="2" ht="19.5" spans="1:4">
      <c r="A2" s="32" t="s">
        <v>177</v>
      </c>
      <c r="B2" s="32"/>
      <c r="C2" s="32"/>
      <c r="D2" s="32"/>
    </row>
    <row r="3" ht="15.75" spans="1:4">
      <c r="A3" s="33" t="s">
        <v>178</v>
      </c>
      <c r="B3" s="33"/>
      <c r="C3" s="33"/>
      <c r="D3" s="33"/>
    </row>
    <row r="4" spans="1:4">
      <c r="A4" s="34" t="s">
        <v>179</v>
      </c>
      <c r="B4" s="35" t="s">
        <v>180</v>
      </c>
      <c r="C4" s="36"/>
      <c r="D4" s="36"/>
    </row>
    <row r="5" spans="1:4">
      <c r="A5" s="37"/>
      <c r="B5" s="38"/>
      <c r="C5" s="38"/>
      <c r="D5" s="38"/>
    </row>
    <row r="6" ht="15.75" spans="1:4">
      <c r="A6" s="39" t="s">
        <v>181</v>
      </c>
      <c r="B6" s="39"/>
      <c r="C6" s="39"/>
      <c r="D6" s="39"/>
    </row>
    <row r="7" ht="15.75" spans="1:4">
      <c r="A7" s="40" t="s">
        <v>42</v>
      </c>
      <c r="B7" s="41" t="s">
        <v>182</v>
      </c>
      <c r="C7" s="42" t="s">
        <v>183</v>
      </c>
      <c r="D7" s="42"/>
    </row>
    <row r="8" spans="1:4">
      <c r="A8" s="43" t="s">
        <v>45</v>
      </c>
      <c r="B8" s="44" t="s">
        <v>184</v>
      </c>
      <c r="C8" s="45" t="s">
        <v>185</v>
      </c>
      <c r="D8" s="45"/>
    </row>
    <row r="9" spans="1:4">
      <c r="A9" s="46" t="s">
        <v>48</v>
      </c>
      <c r="B9" s="47" t="s">
        <v>186</v>
      </c>
      <c r="C9" s="45" t="s">
        <v>187</v>
      </c>
      <c r="D9" s="45"/>
    </row>
    <row r="10" spans="1:4">
      <c r="A10" s="43" t="s">
        <v>53</v>
      </c>
      <c r="B10" s="44" t="s">
        <v>188</v>
      </c>
      <c r="C10" s="45" t="s">
        <v>189</v>
      </c>
      <c r="D10" s="45"/>
    </row>
    <row r="11" ht="15.75" spans="1:4">
      <c r="A11" s="48" t="s">
        <v>190</v>
      </c>
      <c r="B11" s="48"/>
      <c r="C11" s="48"/>
      <c r="D11" s="48"/>
    </row>
    <row r="12" ht="16.5" spans="1:4">
      <c r="A12" s="49" t="s">
        <v>191</v>
      </c>
      <c r="B12" s="49"/>
      <c r="C12" s="48" t="s">
        <v>192</v>
      </c>
      <c r="D12" s="50" t="s">
        <v>193</v>
      </c>
    </row>
    <row r="13" ht="15.75" spans="1:4">
      <c r="A13" s="51" t="s">
        <v>235</v>
      </c>
      <c r="B13" s="51"/>
      <c r="C13" s="45" t="s">
        <v>195</v>
      </c>
      <c r="D13" s="52">
        <f>RESUMO!D5</f>
        <v>3</v>
      </c>
    </row>
    <row r="14" spans="1:4">
      <c r="A14" s="53"/>
      <c r="B14" s="53"/>
      <c r="C14" s="45"/>
      <c r="D14" s="54"/>
    </row>
    <row r="15" ht="15.75" spans="1:7">
      <c r="A15" s="48" t="s">
        <v>14</v>
      </c>
      <c r="B15" s="48"/>
      <c r="C15" s="48"/>
      <c r="D15" s="48"/>
      <c r="F15" s="55"/>
      <c r="G15" s="55"/>
    </row>
    <row r="16" ht="15.75" spans="1:4">
      <c r="A16" s="56" t="s">
        <v>16</v>
      </c>
      <c r="B16" t="s">
        <v>17</v>
      </c>
      <c r="C16" s="56" t="s">
        <v>18</v>
      </c>
      <c r="D16" s="56" t="s">
        <v>19</v>
      </c>
    </row>
    <row r="17" spans="1:4">
      <c r="A17" s="56">
        <v>1</v>
      </c>
      <c r="B17" t="s">
        <v>20</v>
      </c>
      <c r="C17" s="57" t="s">
        <v>102</v>
      </c>
      <c r="D17" s="57" t="str">
        <f>A13</f>
        <v>Cuidador</v>
      </c>
    </row>
    <row r="18" spans="1:4">
      <c r="A18" s="56">
        <v>2</v>
      </c>
      <c r="B18" t="s">
        <v>23</v>
      </c>
      <c r="C18" s="57" t="s">
        <v>196</v>
      </c>
      <c r="D18" s="57" t="s">
        <v>236</v>
      </c>
    </row>
    <row r="19" spans="1:4">
      <c r="A19" s="56">
        <v>3</v>
      </c>
      <c r="B19" t="s">
        <v>26</v>
      </c>
      <c r="C19" s="57" t="str">
        <f>C9</f>
        <v>CCT PB000047/2021</v>
      </c>
      <c r="D19" s="58">
        <v>1654.8</v>
      </c>
    </row>
    <row r="20" spans="1:4">
      <c r="A20" s="56">
        <v>4</v>
      </c>
      <c r="B20" t="s">
        <v>29</v>
      </c>
      <c r="C20" s="57" t="str">
        <f>C9</f>
        <v>CCT PB000047/2021</v>
      </c>
      <c r="D20" s="59" t="s">
        <v>198</v>
      </c>
    </row>
    <row r="21" spans="1:4">
      <c r="A21" s="56">
        <v>5</v>
      </c>
      <c r="B21" t="s">
        <v>33</v>
      </c>
      <c r="C21" s="57" t="str">
        <f>C9</f>
        <v>CCT PB000047/2021</v>
      </c>
      <c r="D21" s="60" t="s">
        <v>199</v>
      </c>
    </row>
    <row r="22" spans="6:7">
      <c r="F22" s="55"/>
      <c r="G22" s="55"/>
    </row>
    <row r="23" spans="1:4">
      <c r="A23" s="39" t="s">
        <v>36</v>
      </c>
      <c r="B23" s="39"/>
      <c r="C23" s="39"/>
      <c r="D23" s="39"/>
    </row>
    <row r="24" spans="1:7">
      <c r="A24" s="56" t="s">
        <v>39</v>
      </c>
      <c r="B24" s="61" t="s">
        <v>40</v>
      </c>
      <c r="C24" s="56" t="s">
        <v>18</v>
      </c>
      <c r="D24" s="56" t="s">
        <v>19</v>
      </c>
      <c r="G24" s="62"/>
    </row>
    <row r="25" spans="1:7">
      <c r="A25" s="56" t="s">
        <v>42</v>
      </c>
      <c r="B25" t="s">
        <v>43</v>
      </c>
      <c r="C25" s="63" t="s">
        <v>234</v>
      </c>
      <c r="D25" s="58">
        <f>D19</f>
        <v>1654.8</v>
      </c>
      <c r="G25" s="62"/>
    </row>
    <row r="26" spans="1:7">
      <c r="A26" s="56" t="s">
        <v>45</v>
      </c>
      <c r="B26" t="s">
        <v>46</v>
      </c>
      <c r="C26" s="59"/>
      <c r="D26" s="58">
        <v>0</v>
      </c>
      <c r="G26" s="62"/>
    </row>
    <row r="27" spans="1:4">
      <c r="A27" s="56" t="s">
        <v>48</v>
      </c>
      <c r="B27" t="s">
        <v>49</v>
      </c>
      <c r="C27" s="59"/>
      <c r="D27" s="58">
        <v>0</v>
      </c>
    </row>
    <row r="28" spans="1:4">
      <c r="A28" s="56" t="s">
        <v>50</v>
      </c>
      <c r="B28" t="s">
        <v>51</v>
      </c>
      <c r="C28" s="59"/>
      <c r="D28" s="58">
        <v>0</v>
      </c>
    </row>
    <row r="29" spans="1:4">
      <c r="A29" s="56" t="s">
        <v>53</v>
      </c>
      <c r="B29" t="s">
        <v>54</v>
      </c>
      <c r="C29" s="59"/>
      <c r="D29" s="58">
        <v>0</v>
      </c>
    </row>
    <row r="30" spans="1:4">
      <c r="A30" s="56" t="s">
        <v>55</v>
      </c>
      <c r="B30" t="s">
        <v>56</v>
      </c>
      <c r="C30" s="59"/>
      <c r="D30" s="58">
        <v>0</v>
      </c>
    </row>
    <row r="31" spans="1:7">
      <c r="A31" s="56" t="s">
        <v>58</v>
      </c>
      <c r="C31" s="56"/>
      <c r="D31" s="64">
        <f>TRUNC((SUM(D25:D30)),2)</f>
        <v>1654.8</v>
      </c>
      <c r="F31" s="55"/>
      <c r="G31" s="55"/>
    </row>
    <row r="33" spans="1:7">
      <c r="A33" s="65" t="s">
        <v>61</v>
      </c>
      <c r="B33" s="65"/>
      <c r="C33" s="65"/>
      <c r="D33" s="65"/>
      <c r="G33" s="62"/>
    </row>
    <row r="35" spans="1:4">
      <c r="A35" s="55" t="s">
        <v>63</v>
      </c>
      <c r="B35" s="55"/>
      <c r="C35" s="55"/>
      <c r="D35" s="55"/>
    </row>
    <row r="36" spans="1:4">
      <c r="A36" s="56" t="s">
        <v>65</v>
      </c>
      <c r="B36" s="61" t="s">
        <v>66</v>
      </c>
      <c r="C36" s="56" t="s">
        <v>38</v>
      </c>
      <c r="D36" s="56" t="s">
        <v>19</v>
      </c>
    </row>
    <row r="37" spans="1:7">
      <c r="A37" s="56" t="s">
        <v>42</v>
      </c>
      <c r="B37" t="s">
        <v>67</v>
      </c>
      <c r="C37" s="66">
        <f>(1/12)</f>
        <v>0.0833333333333333</v>
      </c>
      <c r="D37" s="64">
        <f>TRUNC($D$31*C37,2)</f>
        <v>137.9</v>
      </c>
      <c r="F37" s="67"/>
      <c r="G37" s="67"/>
    </row>
    <row r="38" spans="1:7">
      <c r="A38" s="56" t="s">
        <v>45</v>
      </c>
      <c r="B38" t="s">
        <v>68</v>
      </c>
      <c r="C38" s="66">
        <f>(((1+1/3)/12))</f>
        <v>0.111111111111111</v>
      </c>
      <c r="D38" s="64">
        <f>TRUNC($D$31*C38,2)</f>
        <v>183.86</v>
      </c>
      <c r="F38" s="67"/>
      <c r="G38" s="67"/>
    </row>
    <row r="39" spans="1:7">
      <c r="A39" s="56" t="s">
        <v>58</v>
      </c>
      <c r="D39" s="64">
        <f>TRUNC((SUM(D37:D38)),2)</f>
        <v>321.76</v>
      </c>
      <c r="F39" s="67"/>
      <c r="G39" s="67"/>
    </row>
    <row r="40" ht="15.75" spans="4:7">
      <c r="D40" s="64"/>
      <c r="F40" s="67"/>
      <c r="G40" s="67"/>
    </row>
    <row r="41" ht="16.5" spans="1:7">
      <c r="A41" s="68" t="s">
        <v>201</v>
      </c>
      <c r="B41" s="68"/>
      <c r="C41" s="69" t="s">
        <v>202</v>
      </c>
      <c r="D41" s="70">
        <f>D31</f>
        <v>1654.8</v>
      </c>
      <c r="F41" s="67"/>
      <c r="G41" s="67"/>
    </row>
    <row r="42" ht="16.5" spans="1:7">
      <c r="A42" s="68"/>
      <c r="B42" s="68"/>
      <c r="C42" s="71" t="s">
        <v>203</v>
      </c>
      <c r="D42" s="70">
        <f>D39</f>
        <v>321.76</v>
      </c>
      <c r="F42" s="67"/>
      <c r="G42" s="67"/>
    </row>
    <row r="43" ht="16.5" spans="1:7">
      <c r="A43" s="68"/>
      <c r="B43" s="68"/>
      <c r="C43" s="69" t="s">
        <v>204</v>
      </c>
      <c r="D43" s="72">
        <f>TRUNC((SUM(D41:D42)),2)</f>
        <v>1976.56</v>
      </c>
      <c r="F43" s="67"/>
      <c r="G43" s="67"/>
    </row>
    <row r="44" ht="15.75" spans="1:7">
      <c r="A44" s="56"/>
      <c r="C44" s="73"/>
      <c r="D44" s="64"/>
      <c r="F44" s="67"/>
      <c r="G44" s="67"/>
    </row>
    <row r="45" spans="1:4">
      <c r="A45" s="55" t="s">
        <v>77</v>
      </c>
      <c r="B45" s="55"/>
      <c r="C45" s="55"/>
      <c r="D45" s="55"/>
    </row>
    <row r="46" spans="1:4">
      <c r="A46" s="56" t="s">
        <v>78</v>
      </c>
      <c r="B46" s="61" t="s">
        <v>79</v>
      </c>
      <c r="C46" s="56" t="s">
        <v>38</v>
      </c>
      <c r="D46" s="56" t="s">
        <v>80</v>
      </c>
    </row>
    <row r="47" spans="1:4">
      <c r="A47" s="56" t="s">
        <v>42</v>
      </c>
      <c r="B47" t="s">
        <v>81</v>
      </c>
      <c r="C47" s="66">
        <v>0.2</v>
      </c>
      <c r="D47" s="64">
        <f t="shared" ref="D47:D54" si="0">TRUNC(($D$43*C47),2)</f>
        <v>395.31</v>
      </c>
    </row>
    <row r="48" spans="1:4">
      <c r="A48" s="56" t="s">
        <v>45</v>
      </c>
      <c r="B48" t="s">
        <v>82</v>
      </c>
      <c r="C48" s="66">
        <v>0.025</v>
      </c>
      <c r="D48" s="64">
        <f t="shared" si="0"/>
        <v>49.41</v>
      </c>
    </row>
    <row r="49" spans="1:4">
      <c r="A49" s="56" t="s">
        <v>48</v>
      </c>
      <c r="B49" t="s">
        <v>205</v>
      </c>
      <c r="C49" s="74">
        <v>0.06</v>
      </c>
      <c r="D49" s="58">
        <f t="shared" si="0"/>
        <v>118.59</v>
      </c>
    </row>
    <row r="50" spans="1:4">
      <c r="A50" s="56" t="s">
        <v>50</v>
      </c>
      <c r="B50" t="s">
        <v>84</v>
      </c>
      <c r="C50" s="66">
        <v>0.015</v>
      </c>
      <c r="D50" s="64">
        <f t="shared" si="0"/>
        <v>29.64</v>
      </c>
    </row>
    <row r="51" spans="1:4">
      <c r="A51" s="56" t="s">
        <v>53</v>
      </c>
      <c r="B51" t="s">
        <v>85</v>
      </c>
      <c r="C51" s="66">
        <v>0.01</v>
      </c>
      <c r="D51" s="64">
        <f t="shared" si="0"/>
        <v>19.76</v>
      </c>
    </row>
    <row r="52" spans="1:4">
      <c r="A52" s="56" t="s">
        <v>55</v>
      </c>
      <c r="B52" t="s">
        <v>86</v>
      </c>
      <c r="C52" s="66">
        <v>0.006</v>
      </c>
      <c r="D52" s="64">
        <f t="shared" si="0"/>
        <v>11.85</v>
      </c>
    </row>
    <row r="53" spans="1:4">
      <c r="A53" s="56" t="s">
        <v>87</v>
      </c>
      <c r="B53" t="s">
        <v>88</v>
      </c>
      <c r="C53" s="66">
        <v>0.002</v>
      </c>
      <c r="D53" s="64">
        <f t="shared" si="0"/>
        <v>3.95</v>
      </c>
    </row>
    <row r="54" spans="1:4">
      <c r="A54" s="56" t="s">
        <v>89</v>
      </c>
      <c r="B54" t="s">
        <v>90</v>
      </c>
      <c r="C54" s="66">
        <v>0.08</v>
      </c>
      <c r="D54" s="64">
        <f t="shared" si="0"/>
        <v>158.12</v>
      </c>
    </row>
    <row r="55" spans="1:4">
      <c r="A55" s="56" t="s">
        <v>58</v>
      </c>
      <c r="C55" s="73">
        <f>SUM(C47:C54)</f>
        <v>0.398</v>
      </c>
      <c r="D55" s="64">
        <f>TRUNC(SUM(D47:D54),2)</f>
        <v>786.63</v>
      </c>
    </row>
    <row r="56" spans="1:4">
      <c r="A56" s="56"/>
      <c r="C56" s="73"/>
      <c r="D56" s="64"/>
    </row>
    <row r="57" spans="1:4">
      <c r="A57" s="55" t="s">
        <v>95</v>
      </c>
      <c r="B57" s="55"/>
      <c r="C57" s="55"/>
      <c r="D57" s="55"/>
    </row>
    <row r="58" spans="1:4">
      <c r="A58" s="56" t="s">
        <v>96</v>
      </c>
      <c r="B58" s="61" t="s">
        <v>97</v>
      </c>
      <c r="C58" s="56" t="s">
        <v>18</v>
      </c>
      <c r="D58" s="56" t="s">
        <v>19</v>
      </c>
    </row>
    <row r="59" spans="1:4">
      <c r="A59" s="56" t="s">
        <v>42</v>
      </c>
      <c r="B59" t="s">
        <v>98</v>
      </c>
      <c r="C59" s="57"/>
      <c r="D59" s="75">
        <f>TRUNC(((22*4.15)*2)-((D25/100)*6),2)</f>
        <v>83.31</v>
      </c>
    </row>
    <row r="60" spans="1:4">
      <c r="A60" s="56" t="s">
        <v>45</v>
      </c>
      <c r="B60" t="s">
        <v>99</v>
      </c>
      <c r="C60" s="57" t="str">
        <f>C9</f>
        <v>CCT PB000047/2021</v>
      </c>
      <c r="D60" s="58">
        <f>TRUNC((((22*18))-(((22*18))*0.2)),2)</f>
        <v>316.8</v>
      </c>
    </row>
    <row r="61" spans="1:4">
      <c r="A61" s="56" t="s">
        <v>48</v>
      </c>
      <c r="B61" t="s">
        <v>100</v>
      </c>
      <c r="C61" s="57"/>
      <c r="D61" s="58">
        <v>0</v>
      </c>
    </row>
    <row r="62" spans="1:6">
      <c r="A62" s="76" t="s">
        <v>50</v>
      </c>
      <c r="B62" s="77" t="s">
        <v>206</v>
      </c>
      <c r="C62" s="78"/>
      <c r="D62" s="78">
        <v>0</v>
      </c>
      <c r="F62" s="77"/>
    </row>
    <row r="63" spans="1:4">
      <c r="A63" s="56" t="s">
        <v>53</v>
      </c>
      <c r="B63" s="61" t="s">
        <v>207</v>
      </c>
      <c r="C63" s="57" t="str">
        <f>C60</f>
        <v>CCT PB000047/2021</v>
      </c>
      <c r="D63" s="58">
        <v>15</v>
      </c>
    </row>
    <row r="64" spans="1:4">
      <c r="A64" s="56" t="s">
        <v>55</v>
      </c>
      <c r="B64" s="79" t="s">
        <v>208</v>
      </c>
      <c r="C64" s="78" t="str">
        <f>C60</f>
        <v>CCT PB000047/2021</v>
      </c>
      <c r="D64" s="58">
        <v>5</v>
      </c>
    </row>
    <row r="65" spans="1:4">
      <c r="A65" s="56" t="s">
        <v>58</v>
      </c>
      <c r="D65" s="64">
        <f>TRUNC((SUM(D59:D64)),2)</f>
        <v>420.11</v>
      </c>
    </row>
    <row r="66" spans="1:4">
      <c r="A66" s="56"/>
      <c r="D66" s="64"/>
    </row>
    <row r="67" spans="1:4">
      <c r="A67" s="55" t="s">
        <v>105</v>
      </c>
      <c r="B67" s="55"/>
      <c r="C67" s="55"/>
      <c r="D67" s="55"/>
    </row>
    <row r="68" spans="1:4">
      <c r="A68" s="56" t="s">
        <v>106</v>
      </c>
      <c r="B68" s="61" t="s">
        <v>107</v>
      </c>
      <c r="C68" s="56" t="s">
        <v>18</v>
      </c>
      <c r="D68" s="56" t="s">
        <v>19</v>
      </c>
    </row>
    <row r="69" spans="1:4">
      <c r="A69" s="56" t="s">
        <v>65</v>
      </c>
      <c r="B69" t="s">
        <v>66</v>
      </c>
      <c r="C69" s="56"/>
      <c r="D69" s="64">
        <f>D39</f>
        <v>321.76</v>
      </c>
    </row>
    <row r="70" spans="1:4">
      <c r="A70" s="56" t="s">
        <v>78</v>
      </c>
      <c r="B70" t="s">
        <v>79</v>
      </c>
      <c r="C70" s="56"/>
      <c r="D70" s="64">
        <f>D55</f>
        <v>786.63</v>
      </c>
    </row>
    <row r="71" spans="1:4">
      <c r="A71" s="56" t="s">
        <v>96</v>
      </c>
      <c r="B71" t="s">
        <v>97</v>
      </c>
      <c r="C71" s="56"/>
      <c r="D71" s="64">
        <f>D65</f>
        <v>420.11</v>
      </c>
    </row>
    <row r="72" spans="1:4">
      <c r="A72" s="56" t="s">
        <v>58</v>
      </c>
      <c r="C72" s="56"/>
      <c r="D72" s="64">
        <f>TRUNC((SUM(D69:D71)),2)</f>
        <v>1528.5</v>
      </c>
    </row>
    <row r="74" spans="1:4">
      <c r="A74" s="39" t="s">
        <v>108</v>
      </c>
      <c r="B74" s="39"/>
      <c r="C74" s="39"/>
      <c r="D74" s="39"/>
    </row>
    <row r="75" spans="1:4">
      <c r="A75" s="56" t="s">
        <v>109</v>
      </c>
      <c r="B75" s="61" t="s">
        <v>110</v>
      </c>
      <c r="C75" s="56" t="s">
        <v>38</v>
      </c>
      <c r="D75" s="56" t="s">
        <v>19</v>
      </c>
    </row>
    <row r="76" spans="1:4">
      <c r="A76" s="56" t="s">
        <v>42</v>
      </c>
      <c r="B76" t="s">
        <v>111</v>
      </c>
      <c r="C76" s="74">
        <f>((1/12)*5%)</f>
        <v>0.00416666666666667</v>
      </c>
      <c r="D76" s="58">
        <f t="shared" ref="D76:D79" si="1">TRUNC(($D$31*C76),2)</f>
        <v>6.89</v>
      </c>
    </row>
    <row r="77" spans="1:4">
      <c r="A77" s="56" t="s">
        <v>45</v>
      </c>
      <c r="B77" t="s">
        <v>112</v>
      </c>
      <c r="C77" s="80">
        <v>0.08</v>
      </c>
      <c r="D77" s="64">
        <f>TRUNC(($D$76*C77),2)</f>
        <v>0.55</v>
      </c>
    </row>
    <row r="78" ht="30" spans="1:4">
      <c r="A78" s="56" t="s">
        <v>48</v>
      </c>
      <c r="B78" s="81" t="s">
        <v>113</v>
      </c>
      <c r="C78" s="82">
        <f>(0.08*0.4*0.05)</f>
        <v>0.0016</v>
      </c>
      <c r="D78" s="78">
        <f t="shared" si="1"/>
        <v>2.64</v>
      </c>
    </row>
    <row r="79" spans="1:4">
      <c r="A79" s="56" t="s">
        <v>50</v>
      </c>
      <c r="B79" t="s">
        <v>114</v>
      </c>
      <c r="C79" s="83">
        <f>(((7/30)/12)*0.95)</f>
        <v>0.0184722222222222</v>
      </c>
      <c r="D79" s="84">
        <f t="shared" si="1"/>
        <v>30.56</v>
      </c>
    </row>
    <row r="80" ht="30" spans="1:4">
      <c r="A80" s="56" t="s">
        <v>53</v>
      </c>
      <c r="B80" s="81" t="s">
        <v>209</v>
      </c>
      <c r="C80" s="82">
        <f>C55</f>
        <v>0.398</v>
      </c>
      <c r="D80" s="78">
        <f>TRUNC(($D$79*C80),2)</f>
        <v>12.16</v>
      </c>
    </row>
    <row r="81" ht="30" spans="1:4">
      <c r="A81" s="56" t="s">
        <v>55</v>
      </c>
      <c r="B81" s="81" t="s">
        <v>115</v>
      </c>
      <c r="C81" s="83">
        <f>(0.08*0.4*0.95)</f>
        <v>0.0304</v>
      </c>
      <c r="D81" s="85">
        <f>TRUNC(($D$31*C81),2)</f>
        <v>50.3</v>
      </c>
    </row>
    <row r="82" spans="1:4">
      <c r="A82" s="56" t="s">
        <v>58</v>
      </c>
      <c r="C82" s="80">
        <f>SUM(C76:C81)</f>
        <v>0.532638888888889</v>
      </c>
      <c r="D82" s="64">
        <f>TRUNC((SUM(D76:D81)),2)</f>
        <v>103.1</v>
      </c>
    </row>
    <row r="83" ht="15.75" spans="1:4">
      <c r="A83" s="56"/>
      <c r="D83" s="64"/>
    </row>
    <row r="84" ht="16.5" spans="1:4">
      <c r="A84" s="68" t="s">
        <v>210</v>
      </c>
      <c r="B84" s="68"/>
      <c r="C84" s="69" t="s">
        <v>202</v>
      </c>
      <c r="D84" s="70">
        <f>D31</f>
        <v>1654.8</v>
      </c>
    </row>
    <row r="85" ht="16.5" spans="1:4">
      <c r="A85" s="68"/>
      <c r="B85" s="68"/>
      <c r="C85" s="71" t="s">
        <v>211</v>
      </c>
      <c r="D85" s="70">
        <f>D72</f>
        <v>1528.5</v>
      </c>
    </row>
    <row r="86" ht="16.5" spans="1:4">
      <c r="A86" s="68"/>
      <c r="B86" s="68"/>
      <c r="C86" s="69" t="s">
        <v>212</v>
      </c>
      <c r="D86" s="70">
        <f>D82</f>
        <v>103.1</v>
      </c>
    </row>
    <row r="87" ht="16.5" spans="1:4">
      <c r="A87" s="68"/>
      <c r="B87" s="68"/>
      <c r="C87" s="71" t="s">
        <v>204</v>
      </c>
      <c r="D87" s="72">
        <f>TRUNC((SUM(D84:D86)),2)</f>
        <v>3286.4</v>
      </c>
    </row>
    <row r="88" ht="15.75" spans="1:4">
      <c r="A88" s="56"/>
      <c r="D88" s="64"/>
    </row>
    <row r="89" spans="1:4">
      <c r="A89" s="86" t="s">
        <v>127</v>
      </c>
      <c r="B89" s="86"/>
      <c r="C89" s="86"/>
      <c r="D89" s="86"/>
    </row>
    <row r="90" spans="1:4">
      <c r="A90" s="55" t="s">
        <v>128</v>
      </c>
      <c r="B90" s="55"/>
      <c r="C90" s="55"/>
      <c r="D90" s="55"/>
    </row>
    <row r="91" spans="1:4">
      <c r="A91" s="56" t="s">
        <v>129</v>
      </c>
      <c r="B91" s="61" t="s">
        <v>130</v>
      </c>
      <c r="C91" s="56" t="s">
        <v>38</v>
      </c>
      <c r="D91" s="56" t="s">
        <v>19</v>
      </c>
    </row>
    <row r="92" spans="1:4">
      <c r="A92" s="56" t="s">
        <v>42</v>
      </c>
      <c r="B92" t="s">
        <v>213</v>
      </c>
      <c r="C92" s="80">
        <f>(((1+1/3)/12)/12)+((1/12)/12)</f>
        <v>0.0162037037037037</v>
      </c>
      <c r="D92" s="64">
        <f t="shared" ref="D92:D96" si="2">TRUNC(($D$87*C92),2)</f>
        <v>53.25</v>
      </c>
    </row>
    <row r="93" spans="1:4">
      <c r="A93" s="56" t="s">
        <v>45</v>
      </c>
      <c r="B93" t="s">
        <v>133</v>
      </c>
      <c r="C93" s="74">
        <f>((2/30)/12)</f>
        <v>0.00555555555555556</v>
      </c>
      <c r="D93" s="78">
        <f t="shared" si="2"/>
        <v>18.25</v>
      </c>
    </row>
    <row r="94" spans="1:4">
      <c r="A94" s="56" t="s">
        <v>48</v>
      </c>
      <c r="B94" t="s">
        <v>134</v>
      </c>
      <c r="C94" s="74">
        <f>((5/30)/12)*0.02</f>
        <v>0.000277777777777778</v>
      </c>
      <c r="D94" s="78">
        <f t="shared" si="2"/>
        <v>0.91</v>
      </c>
    </row>
    <row r="95" spans="1:4">
      <c r="A95" s="76" t="s">
        <v>50</v>
      </c>
      <c r="B95" s="81" t="s">
        <v>135</v>
      </c>
      <c r="C95" s="82">
        <f>((15/30)/12)*0.08</f>
        <v>0.00333333333333333</v>
      </c>
      <c r="D95" s="78">
        <f t="shared" si="2"/>
        <v>10.95</v>
      </c>
    </row>
    <row r="96" spans="1:4">
      <c r="A96" s="56" t="s">
        <v>53</v>
      </c>
      <c r="B96" t="s">
        <v>136</v>
      </c>
      <c r="C96" s="74">
        <f>((1+1/3)/12)*0.03*((4/12))</f>
        <v>0.00111111111111111</v>
      </c>
      <c r="D96" s="78">
        <f t="shared" si="2"/>
        <v>3.65</v>
      </c>
    </row>
    <row r="97" spans="1:4">
      <c r="A97" s="56" t="s">
        <v>55</v>
      </c>
      <c r="B97" s="81" t="s">
        <v>214</v>
      </c>
      <c r="C97" s="87">
        <v>0</v>
      </c>
      <c r="D97" s="78">
        <f>TRUNC($D$87*C97)</f>
        <v>0</v>
      </c>
    </row>
    <row r="98" spans="1:4">
      <c r="A98" s="56" t="s">
        <v>58</v>
      </c>
      <c r="C98" s="80">
        <f>SUM(C92:C97)</f>
        <v>0.0264814814814815</v>
      </c>
      <c r="D98" s="64">
        <f>TRUNC((SUM(D92:D97)),2)</f>
        <v>87.01</v>
      </c>
    </row>
    <row r="99" spans="1:4">
      <c r="A99" s="56"/>
      <c r="C99" s="56"/>
      <c r="D99" s="64"/>
    </row>
    <row r="100" spans="1:4">
      <c r="A100" s="55" t="s">
        <v>144</v>
      </c>
      <c r="B100" s="55"/>
      <c r="C100" s="55"/>
      <c r="D100" s="55"/>
    </row>
    <row r="101" spans="1:4">
      <c r="A101" s="56" t="s">
        <v>145</v>
      </c>
      <c r="B101" s="61" t="s">
        <v>146</v>
      </c>
      <c r="C101" s="56" t="s">
        <v>18</v>
      </c>
      <c r="D101" s="56" t="s">
        <v>19</v>
      </c>
    </row>
    <row r="102" ht="120" spans="1:4">
      <c r="A102" s="76" t="s">
        <v>42</v>
      </c>
      <c r="B102" s="88" t="s">
        <v>147</v>
      </c>
      <c r="C102" s="89" t="s">
        <v>215</v>
      </c>
      <c r="D102" s="90" t="s">
        <v>216</v>
      </c>
    </row>
    <row r="103" spans="1:4">
      <c r="A103" s="56" t="s">
        <v>58</v>
      </c>
      <c r="C103" s="91"/>
      <c r="D103" s="92" t="str">
        <f>D102</f>
        <v>*=TRUNCAR(($D$86/220)*(1*(365/12))/2)</v>
      </c>
    </row>
    <row r="105" spans="1:4">
      <c r="A105" s="55" t="s">
        <v>148</v>
      </c>
      <c r="B105" s="55"/>
      <c r="C105" s="55"/>
      <c r="D105" s="55"/>
    </row>
    <row r="106" spans="1:4">
      <c r="A106" s="56" t="s">
        <v>149</v>
      </c>
      <c r="B106" s="61" t="s">
        <v>150</v>
      </c>
      <c r="C106" s="56" t="s">
        <v>18</v>
      </c>
      <c r="D106" s="56" t="s">
        <v>19</v>
      </c>
    </row>
    <row r="107" spans="1:4">
      <c r="A107" s="56" t="s">
        <v>129</v>
      </c>
      <c r="B107" t="s">
        <v>130</v>
      </c>
      <c r="D107" s="58">
        <f>D98</f>
        <v>87.01</v>
      </c>
    </row>
    <row r="108" spans="1:4">
      <c r="A108" s="56" t="s">
        <v>145</v>
      </c>
      <c r="B108" t="s">
        <v>151</v>
      </c>
      <c r="C108" s="61"/>
      <c r="D108" s="93"/>
    </row>
    <row r="109" ht="90" spans="1:4">
      <c r="A109" s="76" t="s">
        <v>58</v>
      </c>
      <c r="B109" s="77"/>
      <c r="C109" s="89" t="s">
        <v>217</v>
      </c>
      <c r="D109" s="94">
        <f>TRUNC((SUM(D107:D108)),2)</f>
        <v>87.01</v>
      </c>
    </row>
    <row r="111" spans="1:4">
      <c r="A111" s="39" t="s">
        <v>152</v>
      </c>
      <c r="B111" s="39"/>
      <c r="C111" s="39"/>
      <c r="D111" s="39"/>
    </row>
    <row r="112" spans="1:4">
      <c r="A112" s="76" t="s">
        <v>153</v>
      </c>
      <c r="B112" s="77" t="s">
        <v>154</v>
      </c>
      <c r="C112" s="76" t="s">
        <v>18</v>
      </c>
      <c r="D112" s="76" t="s">
        <v>19</v>
      </c>
    </row>
    <row r="113" spans="1:4">
      <c r="A113" s="56" t="s">
        <v>42</v>
      </c>
      <c r="B113" t="s">
        <v>218</v>
      </c>
      <c r="D113" s="95">
        <f>Uniformes!G12</f>
        <v>87.37</v>
      </c>
    </row>
    <row r="114" spans="1:4">
      <c r="A114" s="56" t="s">
        <v>45</v>
      </c>
      <c r="B114" t="s">
        <v>219</v>
      </c>
      <c r="D114" s="58">
        <v>0</v>
      </c>
    </row>
    <row r="115" spans="1:4">
      <c r="A115" s="56" t="s">
        <v>48</v>
      </c>
      <c r="B115" t="s">
        <v>156</v>
      </c>
      <c r="D115" s="58">
        <v>0</v>
      </c>
    </row>
    <row r="116" spans="1:4">
      <c r="A116" s="56" t="s">
        <v>50</v>
      </c>
      <c r="B116" t="s">
        <v>157</v>
      </c>
      <c r="D116" s="58">
        <v>0</v>
      </c>
    </row>
    <row r="117" spans="1:4">
      <c r="A117" s="56" t="s">
        <v>53</v>
      </c>
      <c r="B117" t="s">
        <v>220</v>
      </c>
      <c r="C117" s="56"/>
      <c r="D117" s="58">
        <v>0</v>
      </c>
    </row>
    <row r="118" spans="1:4">
      <c r="A118" s="56" t="s">
        <v>58</v>
      </c>
      <c r="D118" s="64">
        <f>TRUNC(SUM(D113:D117),2)</f>
        <v>87.37</v>
      </c>
    </row>
    <row r="120" ht="16.5" spans="1:4">
      <c r="A120" s="68" t="s">
        <v>221</v>
      </c>
      <c r="B120" s="68"/>
      <c r="C120" s="69" t="s">
        <v>202</v>
      </c>
      <c r="D120" s="70">
        <f>D31</f>
        <v>1654.8</v>
      </c>
    </row>
    <row r="121" ht="16.5" spans="1:4">
      <c r="A121" s="68"/>
      <c r="B121" s="68"/>
      <c r="C121" s="71" t="s">
        <v>211</v>
      </c>
      <c r="D121" s="70">
        <f>D72</f>
        <v>1528.5</v>
      </c>
    </row>
    <row r="122" ht="16.5" spans="1:4">
      <c r="A122" s="68"/>
      <c r="B122" s="68"/>
      <c r="C122" s="69" t="s">
        <v>212</v>
      </c>
      <c r="D122" s="70">
        <f>D82</f>
        <v>103.1</v>
      </c>
    </row>
    <row r="123" ht="16.5" spans="1:4">
      <c r="A123" s="68"/>
      <c r="B123" s="68"/>
      <c r="C123" s="71" t="s">
        <v>222</v>
      </c>
      <c r="D123" s="70">
        <f>D109</f>
        <v>87.01</v>
      </c>
    </row>
    <row r="124" ht="16.5" spans="1:4">
      <c r="A124" s="68"/>
      <c r="B124" s="68"/>
      <c r="C124" s="69" t="s">
        <v>223</v>
      </c>
      <c r="D124" s="70">
        <f>D118</f>
        <v>87.37</v>
      </c>
    </row>
    <row r="125" ht="16.5" spans="1:4">
      <c r="A125" s="68"/>
      <c r="B125" s="68"/>
      <c r="C125" s="71" t="s">
        <v>204</v>
      </c>
      <c r="D125" s="72">
        <f>TRUNC((SUM(D120:D124)),2)</f>
        <v>3460.78</v>
      </c>
    </row>
    <row r="126" ht="15.75"/>
    <row r="127" spans="1:4">
      <c r="A127" s="39" t="s">
        <v>164</v>
      </c>
      <c r="B127" s="39"/>
      <c r="C127" s="39"/>
      <c r="D127" s="39"/>
    </row>
    <row r="128" spans="1:7">
      <c r="A128" s="56" t="s">
        <v>165</v>
      </c>
      <c r="B128" t="s">
        <v>166</v>
      </c>
      <c r="C128" s="56" t="s">
        <v>38</v>
      </c>
      <c r="D128" s="56" t="s">
        <v>19</v>
      </c>
      <c r="F128" s="96" t="s">
        <v>224</v>
      </c>
      <c r="G128" s="96"/>
    </row>
    <row r="129" ht="15.75" spans="1:7">
      <c r="A129" s="56" t="s">
        <v>42</v>
      </c>
      <c r="B129" t="s">
        <v>167</v>
      </c>
      <c r="C129" s="97">
        <v>0.0404</v>
      </c>
      <c r="D129" s="95">
        <f>TRUNC(($D$125*C129),2)</f>
        <v>139.81</v>
      </c>
      <c r="F129" s="98" t="s">
        <v>225</v>
      </c>
      <c r="G129" s="82">
        <f>C131</f>
        <v>0.0865</v>
      </c>
    </row>
    <row r="130" ht="15.75" spans="1:7">
      <c r="A130" s="56" t="s">
        <v>45</v>
      </c>
      <c r="B130" t="s">
        <v>59</v>
      </c>
      <c r="C130" s="97">
        <v>0.035</v>
      </c>
      <c r="D130" s="95">
        <f>TRUNC((C130*(D125+D129)),2)</f>
        <v>126.02</v>
      </c>
      <c r="F130" s="99" t="s">
        <v>226</v>
      </c>
      <c r="G130" s="100">
        <f>TRUNC(SUM(D125,D129,D130),2)</f>
        <v>3726.61</v>
      </c>
    </row>
    <row r="131" spans="1:7">
      <c r="A131" s="56" t="s">
        <v>48</v>
      </c>
      <c r="B131" t="s">
        <v>168</v>
      </c>
      <c r="C131" s="74">
        <f>SUM(C132:C134)</f>
        <v>0.0865</v>
      </c>
      <c r="D131" s="58">
        <f>SUM(D132:D134)</f>
        <v>352.86</v>
      </c>
      <c r="F131" s="98" t="s">
        <v>227</v>
      </c>
      <c r="G131" s="101">
        <f>(100-8.65)/100</f>
        <v>0.9135</v>
      </c>
    </row>
    <row r="132" ht="15.75" spans="1:7">
      <c r="A132" s="56"/>
      <c r="B132" t="s">
        <v>228</v>
      </c>
      <c r="C132" s="74">
        <v>0.0065</v>
      </c>
      <c r="D132" s="58">
        <f t="shared" ref="D132:D134" si="3">TRUNC(($G$132*C132),2)</f>
        <v>26.51</v>
      </c>
      <c r="F132" s="99" t="s">
        <v>224</v>
      </c>
      <c r="G132" s="100">
        <f>TRUNC((G130/G131),2)</f>
        <v>4079.48</v>
      </c>
    </row>
    <row r="133" ht="15.75" spans="1:4">
      <c r="A133" s="56"/>
      <c r="B133" t="s">
        <v>229</v>
      </c>
      <c r="C133" s="74">
        <v>0.03</v>
      </c>
      <c r="D133" s="58">
        <f t="shared" si="3"/>
        <v>122.38</v>
      </c>
    </row>
    <row r="134" spans="1:4">
      <c r="A134" s="56"/>
      <c r="B134" t="s">
        <v>230</v>
      </c>
      <c r="C134" s="74">
        <v>0.05</v>
      </c>
      <c r="D134" s="58">
        <f t="shared" si="3"/>
        <v>203.97</v>
      </c>
    </row>
    <row r="135" spans="1:4">
      <c r="A135" s="56" t="s">
        <v>58</v>
      </c>
      <c r="B135" s="102"/>
      <c r="C135" s="103"/>
      <c r="D135" s="64">
        <f>SUM(D129:D131)</f>
        <v>618.69</v>
      </c>
    </row>
    <row r="136" spans="1:4">
      <c r="A136" s="56"/>
      <c r="C136" s="103"/>
      <c r="D136" s="64"/>
    </row>
    <row r="138" spans="1:4">
      <c r="A138" s="39" t="s">
        <v>172</v>
      </c>
      <c r="B138" s="39"/>
      <c r="C138" s="39"/>
      <c r="D138" s="39"/>
    </row>
    <row r="139" spans="1:4">
      <c r="A139" s="56" t="s">
        <v>16</v>
      </c>
      <c r="B139" s="56" t="s">
        <v>173</v>
      </c>
      <c r="C139" s="56" t="s">
        <v>102</v>
      </c>
      <c r="D139" s="56" t="s">
        <v>19</v>
      </c>
    </row>
    <row r="140" spans="1:4">
      <c r="A140" s="56" t="s">
        <v>42</v>
      </c>
      <c r="B140" t="s">
        <v>36</v>
      </c>
      <c r="D140" s="64">
        <f>D31</f>
        <v>1654.8</v>
      </c>
    </row>
    <row r="141" spans="1:4">
      <c r="A141" s="56" t="s">
        <v>45</v>
      </c>
      <c r="B141" t="s">
        <v>61</v>
      </c>
      <c r="D141" s="64">
        <f>D72</f>
        <v>1528.5</v>
      </c>
    </row>
    <row r="142" spans="1:4">
      <c r="A142" s="56" t="s">
        <v>48</v>
      </c>
      <c r="B142" t="s">
        <v>108</v>
      </c>
      <c r="D142" s="64">
        <f>D82</f>
        <v>103.1</v>
      </c>
    </row>
    <row r="143" spans="1:4">
      <c r="A143" s="56" t="s">
        <v>50</v>
      </c>
      <c r="B143" t="s">
        <v>174</v>
      </c>
      <c r="D143" s="64">
        <f>D109</f>
        <v>87.01</v>
      </c>
    </row>
    <row r="144" spans="1:4">
      <c r="A144" s="56" t="s">
        <v>53</v>
      </c>
      <c r="B144" t="s">
        <v>152</v>
      </c>
      <c r="D144" s="64">
        <f>D118</f>
        <v>87.37</v>
      </c>
    </row>
    <row r="145" spans="2:4">
      <c r="B145" s="104" t="s">
        <v>175</v>
      </c>
      <c r="D145" s="64">
        <f>SUM(D140:D144)</f>
        <v>3460.78</v>
      </c>
    </row>
    <row r="146" spans="1:4">
      <c r="A146" s="56" t="s">
        <v>55</v>
      </c>
      <c r="B146" t="s">
        <v>164</v>
      </c>
      <c r="D146" s="64">
        <f>D135</f>
        <v>618.69</v>
      </c>
    </row>
    <row r="147" spans="1:4">
      <c r="A147" s="105"/>
      <c r="B147" s="106" t="s">
        <v>231</v>
      </c>
      <c r="C147" s="105"/>
      <c r="D147" s="107">
        <f>TRUNC((SUM(D140:D144)+D146),2)</f>
        <v>4079.47</v>
      </c>
    </row>
  </sheetData>
  <mergeCells count="33">
    <mergeCell ref="A2:D2"/>
    <mergeCell ref="A3:D3"/>
    <mergeCell ref="A6:D6"/>
    <mergeCell ref="C7:D7"/>
    <mergeCell ref="C8:D8"/>
    <mergeCell ref="C9:D9"/>
    <mergeCell ref="C10:D10"/>
    <mergeCell ref="A11:D11"/>
    <mergeCell ref="A12:B12"/>
    <mergeCell ref="A13:B13"/>
    <mergeCell ref="A14:B14"/>
    <mergeCell ref="A15:D15"/>
    <mergeCell ref="F15:G15"/>
    <mergeCell ref="F22:G22"/>
    <mergeCell ref="A23:D23"/>
    <mergeCell ref="F31:G31"/>
    <mergeCell ref="A33:D33"/>
    <mergeCell ref="A35:D35"/>
    <mergeCell ref="A45:D45"/>
    <mergeCell ref="A57:D57"/>
    <mergeCell ref="A67:D67"/>
    <mergeCell ref="A74:D74"/>
    <mergeCell ref="A89:D89"/>
    <mergeCell ref="A90:D90"/>
    <mergeCell ref="A100:D100"/>
    <mergeCell ref="A105:D105"/>
    <mergeCell ref="A111:D111"/>
    <mergeCell ref="A127:D127"/>
    <mergeCell ref="F128:G128"/>
    <mergeCell ref="A138:D138"/>
    <mergeCell ref="A41:B43"/>
    <mergeCell ref="A84:B87"/>
    <mergeCell ref="A120:B125"/>
  </mergeCells>
  <pageMargins left="0.75" right="0.75" top="1" bottom="1" header="0.5" footer="0.5"/>
  <pageSetup paperSize="9" orientation="landscape"/>
  <headerFooter/>
  <tableParts count="13">
    <tablePart r:id="rId1"/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</tablePart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G147"/>
  <sheetViews>
    <sheetView workbookViewId="0">
      <selection activeCell="D148" sqref="A1:D148"/>
    </sheetView>
  </sheetViews>
  <sheetFormatPr defaultColWidth="9.14285714285714" defaultRowHeight="15" outlineLevelCol="6"/>
  <cols>
    <col min="1" max="1" width="10.5714285714286" customWidth="1"/>
    <col min="2" max="2" width="56.2857142857143" customWidth="1"/>
    <col min="3" max="3" width="20.2857142857143" customWidth="1"/>
    <col min="4" max="4" width="32" customWidth="1"/>
    <col min="6" max="6" width="22.8571428571429" customWidth="1"/>
    <col min="7" max="7" width="11.4285714285714" customWidth="1"/>
  </cols>
  <sheetData>
    <row r="2" ht="19.5" spans="1:4">
      <c r="A2" s="32" t="s">
        <v>177</v>
      </c>
      <c r="B2" s="32"/>
      <c r="C2" s="32"/>
      <c r="D2" s="32"/>
    </row>
    <row r="3" ht="15.75" spans="1:4">
      <c r="A3" s="33" t="s">
        <v>178</v>
      </c>
      <c r="B3" s="33"/>
      <c r="C3" s="33"/>
      <c r="D3" s="33"/>
    </row>
    <row r="4" spans="1:4">
      <c r="A4" s="34" t="s">
        <v>179</v>
      </c>
      <c r="B4" s="35" t="s">
        <v>180</v>
      </c>
      <c r="C4" s="36"/>
      <c r="D4" s="36"/>
    </row>
    <row r="5" spans="1:4">
      <c r="A5" s="37"/>
      <c r="B5" s="38"/>
      <c r="C5" s="38"/>
      <c r="D5" s="38"/>
    </row>
    <row r="6" ht="15.75" spans="1:4">
      <c r="A6" s="39" t="s">
        <v>181</v>
      </c>
      <c r="B6" s="39"/>
      <c r="C6" s="39"/>
      <c r="D6" s="39"/>
    </row>
    <row r="7" ht="15.75" spans="1:4">
      <c r="A7" s="40" t="s">
        <v>42</v>
      </c>
      <c r="B7" s="41" t="s">
        <v>182</v>
      </c>
      <c r="C7" s="42" t="s">
        <v>183</v>
      </c>
      <c r="D7" s="42"/>
    </row>
    <row r="8" spans="1:4">
      <c r="A8" s="43" t="s">
        <v>45</v>
      </c>
      <c r="B8" s="44" t="s">
        <v>184</v>
      </c>
      <c r="C8" s="45" t="s">
        <v>185</v>
      </c>
      <c r="D8" s="45"/>
    </row>
    <row r="9" spans="1:4">
      <c r="A9" s="46" t="s">
        <v>48</v>
      </c>
      <c r="B9" s="47" t="s">
        <v>186</v>
      </c>
      <c r="C9" s="45" t="s">
        <v>187</v>
      </c>
      <c r="D9" s="45"/>
    </row>
    <row r="10" spans="1:4">
      <c r="A10" s="43" t="s">
        <v>53</v>
      </c>
      <c r="B10" s="44" t="s">
        <v>188</v>
      </c>
      <c r="C10" s="45" t="s">
        <v>189</v>
      </c>
      <c r="D10" s="45"/>
    </row>
    <row r="11" ht="15.75" spans="1:4">
      <c r="A11" s="48" t="s">
        <v>190</v>
      </c>
      <c r="B11" s="48"/>
      <c r="C11" s="48"/>
      <c r="D11" s="48"/>
    </row>
    <row r="12" ht="16.5" spans="1:4">
      <c r="A12" s="49" t="s">
        <v>191</v>
      </c>
      <c r="B12" s="49"/>
      <c r="C12" s="48" t="s">
        <v>192</v>
      </c>
      <c r="D12" s="50" t="s">
        <v>193</v>
      </c>
    </row>
    <row r="13" ht="15.75" spans="1:4">
      <c r="A13" s="51" t="s">
        <v>237</v>
      </c>
      <c r="B13" s="51"/>
      <c r="C13" s="45" t="s">
        <v>195</v>
      </c>
      <c r="D13" s="52">
        <f>RESUMO!D6</f>
        <v>10</v>
      </c>
    </row>
    <row r="14" spans="1:4">
      <c r="A14" s="53"/>
      <c r="B14" s="53"/>
      <c r="C14" s="45"/>
      <c r="D14" s="54"/>
    </row>
    <row r="15" ht="15.75" spans="1:7">
      <c r="A15" s="48" t="s">
        <v>14</v>
      </c>
      <c r="B15" s="48"/>
      <c r="C15" s="48"/>
      <c r="D15" s="48"/>
      <c r="F15" s="55"/>
      <c r="G15" s="55"/>
    </row>
    <row r="16" ht="15.75" spans="1:4">
      <c r="A16" s="56" t="s">
        <v>16</v>
      </c>
      <c r="B16" t="s">
        <v>17</v>
      </c>
      <c r="C16" s="56" t="s">
        <v>18</v>
      </c>
      <c r="D16" s="56" t="s">
        <v>19</v>
      </c>
    </row>
    <row r="17" spans="1:4">
      <c r="A17" s="56">
        <v>1</v>
      </c>
      <c r="B17" t="s">
        <v>20</v>
      </c>
      <c r="C17" s="57" t="s">
        <v>102</v>
      </c>
      <c r="D17" s="57" t="str">
        <f>A13</f>
        <v>Audiodescritor</v>
      </c>
    </row>
    <row r="18" spans="1:4">
      <c r="A18" s="56">
        <v>2</v>
      </c>
      <c r="B18" t="s">
        <v>23</v>
      </c>
      <c r="C18" s="57" t="s">
        <v>196</v>
      </c>
      <c r="D18" s="57" t="s">
        <v>238</v>
      </c>
    </row>
    <row r="19" spans="1:4">
      <c r="A19" s="56">
        <v>3</v>
      </c>
      <c r="B19" t="s">
        <v>26</v>
      </c>
      <c r="C19" s="57" t="str">
        <f>C9</f>
        <v>CCT PB000047/2021</v>
      </c>
      <c r="D19" s="58">
        <v>2575.36</v>
      </c>
    </row>
    <row r="20" spans="1:4">
      <c r="A20" s="56">
        <v>4</v>
      </c>
      <c r="B20" t="s">
        <v>29</v>
      </c>
      <c r="C20" s="57" t="str">
        <f>C9</f>
        <v>CCT PB000047/2021</v>
      </c>
      <c r="D20" s="59" t="s">
        <v>198</v>
      </c>
    </row>
    <row r="21" spans="1:4">
      <c r="A21" s="56">
        <v>5</v>
      </c>
      <c r="B21" t="s">
        <v>33</v>
      </c>
      <c r="C21" s="57" t="str">
        <f>C9</f>
        <v>CCT PB000047/2021</v>
      </c>
      <c r="D21" s="60" t="s">
        <v>199</v>
      </c>
    </row>
    <row r="22" spans="6:7">
      <c r="F22" s="55"/>
      <c r="G22" s="55"/>
    </row>
    <row r="23" spans="1:4">
      <c r="A23" s="39" t="s">
        <v>36</v>
      </c>
      <c r="B23" s="39"/>
      <c r="C23" s="39"/>
      <c r="D23" s="39"/>
    </row>
    <row r="24" spans="1:7">
      <c r="A24" s="56" t="s">
        <v>39</v>
      </c>
      <c r="B24" s="61" t="s">
        <v>40</v>
      </c>
      <c r="C24" s="56" t="s">
        <v>18</v>
      </c>
      <c r="D24" s="56" t="s">
        <v>19</v>
      </c>
      <c r="G24" s="62"/>
    </row>
    <row r="25" spans="1:7">
      <c r="A25" s="56" t="s">
        <v>42</v>
      </c>
      <c r="B25" t="s">
        <v>43</v>
      </c>
      <c r="C25" s="63" t="s">
        <v>200</v>
      </c>
      <c r="D25" s="58">
        <f>D19</f>
        <v>2575.36</v>
      </c>
      <c r="G25" s="62"/>
    </row>
    <row r="26" spans="1:7">
      <c r="A26" s="56" t="s">
        <v>45</v>
      </c>
      <c r="B26" t="s">
        <v>46</v>
      </c>
      <c r="C26" s="59"/>
      <c r="D26" s="58">
        <v>0</v>
      </c>
      <c r="G26" s="62"/>
    </row>
    <row r="27" spans="1:4">
      <c r="A27" s="56" t="s">
        <v>48</v>
      </c>
      <c r="B27" t="s">
        <v>49</v>
      </c>
      <c r="C27" s="59"/>
      <c r="D27" s="58">
        <v>0</v>
      </c>
    </row>
    <row r="28" spans="1:4">
      <c r="A28" s="56" t="s">
        <v>50</v>
      </c>
      <c r="B28" t="s">
        <v>51</v>
      </c>
      <c r="C28" s="59"/>
      <c r="D28" s="58">
        <v>0</v>
      </c>
    </row>
    <row r="29" spans="1:4">
      <c r="A29" s="56" t="s">
        <v>53</v>
      </c>
      <c r="B29" t="s">
        <v>54</v>
      </c>
      <c r="C29" s="59"/>
      <c r="D29" s="58">
        <v>0</v>
      </c>
    </row>
    <row r="30" spans="1:4">
      <c r="A30" s="56" t="s">
        <v>55</v>
      </c>
      <c r="B30" t="s">
        <v>56</v>
      </c>
      <c r="C30" s="59"/>
      <c r="D30" s="58">
        <v>0</v>
      </c>
    </row>
    <row r="31" spans="1:7">
      <c r="A31" s="56" t="s">
        <v>58</v>
      </c>
      <c r="C31" s="56"/>
      <c r="D31" s="64">
        <f>TRUNC((SUM(D25:D30)),2)</f>
        <v>2575.36</v>
      </c>
      <c r="F31" s="55"/>
      <c r="G31" s="55"/>
    </row>
    <row r="33" spans="1:7">
      <c r="A33" s="65" t="s">
        <v>61</v>
      </c>
      <c r="B33" s="65"/>
      <c r="C33" s="65"/>
      <c r="D33" s="65"/>
      <c r="G33" s="62"/>
    </row>
    <row r="35" spans="1:4">
      <c r="A35" s="55" t="s">
        <v>63</v>
      </c>
      <c r="B35" s="55"/>
      <c r="C35" s="55"/>
      <c r="D35" s="55"/>
    </row>
    <row r="36" spans="1:4">
      <c r="A36" s="56" t="s">
        <v>65</v>
      </c>
      <c r="B36" s="61" t="s">
        <v>66</v>
      </c>
      <c r="C36" s="56" t="s">
        <v>38</v>
      </c>
      <c r="D36" s="56" t="s">
        <v>19</v>
      </c>
    </row>
    <row r="37" spans="1:7">
      <c r="A37" s="56" t="s">
        <v>42</v>
      </c>
      <c r="B37" t="s">
        <v>67</v>
      </c>
      <c r="C37" s="66">
        <f>(1/12)</f>
        <v>0.0833333333333333</v>
      </c>
      <c r="D37" s="64">
        <f>TRUNC($D$31*C37,2)</f>
        <v>214.61</v>
      </c>
      <c r="F37" s="67"/>
      <c r="G37" s="67"/>
    </row>
    <row r="38" spans="1:7">
      <c r="A38" s="56" t="s">
        <v>45</v>
      </c>
      <c r="B38" t="s">
        <v>68</v>
      </c>
      <c r="C38" s="66">
        <f>(((1+1/3)/12))</f>
        <v>0.111111111111111</v>
      </c>
      <c r="D38" s="64">
        <f>TRUNC($D$31*C38,2)</f>
        <v>286.15</v>
      </c>
      <c r="F38" s="67"/>
      <c r="G38" s="67"/>
    </row>
    <row r="39" spans="1:7">
      <c r="A39" s="56" t="s">
        <v>58</v>
      </c>
      <c r="D39" s="64">
        <f>TRUNC((SUM(D37:D38)),2)</f>
        <v>500.76</v>
      </c>
      <c r="F39" s="67"/>
      <c r="G39" s="67"/>
    </row>
    <row r="40" ht="15.75" spans="4:7">
      <c r="D40" s="64"/>
      <c r="F40" s="67"/>
      <c r="G40" s="67"/>
    </row>
    <row r="41" ht="16.5" spans="1:7">
      <c r="A41" s="68" t="s">
        <v>201</v>
      </c>
      <c r="B41" s="68"/>
      <c r="C41" s="69" t="s">
        <v>202</v>
      </c>
      <c r="D41" s="70">
        <f>D31</f>
        <v>2575.36</v>
      </c>
      <c r="F41" s="67"/>
      <c r="G41" s="67"/>
    </row>
    <row r="42" ht="16.5" spans="1:7">
      <c r="A42" s="68"/>
      <c r="B42" s="68"/>
      <c r="C42" s="71" t="s">
        <v>203</v>
      </c>
      <c r="D42" s="70">
        <f>D39</f>
        <v>500.76</v>
      </c>
      <c r="F42" s="67"/>
      <c r="G42" s="67"/>
    </row>
    <row r="43" ht="16.5" spans="1:7">
      <c r="A43" s="68"/>
      <c r="B43" s="68"/>
      <c r="C43" s="69" t="s">
        <v>204</v>
      </c>
      <c r="D43" s="72">
        <f>TRUNC((SUM(D41:D42)),2)</f>
        <v>3076.12</v>
      </c>
      <c r="F43" s="67"/>
      <c r="G43" s="67"/>
    </row>
    <row r="44" ht="15.75" spans="1:7">
      <c r="A44" s="56"/>
      <c r="C44" s="73"/>
      <c r="D44" s="64"/>
      <c r="F44" s="67"/>
      <c r="G44" s="67"/>
    </row>
    <row r="45" spans="1:4">
      <c r="A45" s="55" t="s">
        <v>77</v>
      </c>
      <c r="B45" s="55"/>
      <c r="C45" s="55"/>
      <c r="D45" s="55"/>
    </row>
    <row r="46" spans="1:4">
      <c r="A46" s="56" t="s">
        <v>78</v>
      </c>
      <c r="B46" s="61" t="s">
        <v>79</v>
      </c>
      <c r="C46" s="56" t="s">
        <v>38</v>
      </c>
      <c r="D46" s="56" t="s">
        <v>80</v>
      </c>
    </row>
    <row r="47" spans="1:4">
      <c r="A47" s="56" t="s">
        <v>42</v>
      </c>
      <c r="B47" t="s">
        <v>81</v>
      </c>
      <c r="C47" s="66">
        <v>0.2</v>
      </c>
      <c r="D47" s="64">
        <f t="shared" ref="D47:D54" si="0">TRUNC(($D$43*C47),2)</f>
        <v>615.22</v>
      </c>
    </row>
    <row r="48" spans="1:4">
      <c r="A48" s="56" t="s">
        <v>45</v>
      </c>
      <c r="B48" t="s">
        <v>82</v>
      </c>
      <c r="C48" s="66">
        <v>0.025</v>
      </c>
      <c r="D48" s="64">
        <f t="shared" si="0"/>
        <v>76.9</v>
      </c>
    </row>
    <row r="49" spans="1:4">
      <c r="A49" s="56" t="s">
        <v>48</v>
      </c>
      <c r="B49" t="s">
        <v>205</v>
      </c>
      <c r="C49" s="74">
        <v>0.06</v>
      </c>
      <c r="D49" s="58">
        <f t="shared" si="0"/>
        <v>184.56</v>
      </c>
    </row>
    <row r="50" spans="1:4">
      <c r="A50" s="56" t="s">
        <v>50</v>
      </c>
      <c r="B50" t="s">
        <v>84</v>
      </c>
      <c r="C50" s="66">
        <v>0.015</v>
      </c>
      <c r="D50" s="64">
        <f t="shared" si="0"/>
        <v>46.14</v>
      </c>
    </row>
    <row r="51" spans="1:4">
      <c r="A51" s="56" t="s">
        <v>53</v>
      </c>
      <c r="B51" t="s">
        <v>85</v>
      </c>
      <c r="C51" s="66">
        <v>0.01</v>
      </c>
      <c r="D51" s="64">
        <f t="shared" si="0"/>
        <v>30.76</v>
      </c>
    </row>
    <row r="52" spans="1:4">
      <c r="A52" s="56" t="s">
        <v>55</v>
      </c>
      <c r="B52" t="s">
        <v>86</v>
      </c>
      <c r="C52" s="66">
        <v>0.006</v>
      </c>
      <c r="D52" s="64">
        <f t="shared" si="0"/>
        <v>18.45</v>
      </c>
    </row>
    <row r="53" spans="1:4">
      <c r="A53" s="56" t="s">
        <v>87</v>
      </c>
      <c r="B53" t="s">
        <v>88</v>
      </c>
      <c r="C53" s="66">
        <v>0.002</v>
      </c>
      <c r="D53" s="64">
        <f t="shared" si="0"/>
        <v>6.15</v>
      </c>
    </row>
    <row r="54" spans="1:4">
      <c r="A54" s="56" t="s">
        <v>89</v>
      </c>
      <c r="B54" t="s">
        <v>90</v>
      </c>
      <c r="C54" s="66">
        <v>0.08</v>
      </c>
      <c r="D54" s="64">
        <f t="shared" si="0"/>
        <v>246.08</v>
      </c>
    </row>
    <row r="55" spans="1:4">
      <c r="A55" s="56" t="s">
        <v>58</v>
      </c>
      <c r="C55" s="73">
        <f>SUM(C47:C54)</f>
        <v>0.398</v>
      </c>
      <c r="D55" s="64">
        <f>TRUNC(SUM(D47:D54),2)</f>
        <v>1224.26</v>
      </c>
    </row>
    <row r="56" spans="1:4">
      <c r="A56" s="56"/>
      <c r="C56" s="73"/>
      <c r="D56" s="64"/>
    </row>
    <row r="57" spans="1:4">
      <c r="A57" s="55" t="s">
        <v>95</v>
      </c>
      <c r="B57" s="55"/>
      <c r="C57" s="55"/>
      <c r="D57" s="55"/>
    </row>
    <row r="58" spans="1:4">
      <c r="A58" s="56" t="s">
        <v>96</v>
      </c>
      <c r="B58" s="61" t="s">
        <v>97</v>
      </c>
      <c r="C58" s="56" t="s">
        <v>18</v>
      </c>
      <c r="D58" s="56" t="s">
        <v>19</v>
      </c>
    </row>
    <row r="59" spans="1:4">
      <c r="A59" s="56" t="s">
        <v>42</v>
      </c>
      <c r="B59" t="s">
        <v>98</v>
      </c>
      <c r="C59" s="57"/>
      <c r="D59" s="75">
        <f>TRUNC(((22*4.15)*2)-((D25/100)*6),2)</f>
        <v>28.07</v>
      </c>
    </row>
    <row r="60" spans="1:4">
      <c r="A60" s="56" t="s">
        <v>45</v>
      </c>
      <c r="B60" t="s">
        <v>99</v>
      </c>
      <c r="C60" s="57" t="str">
        <f>C9</f>
        <v>CCT PB000047/2021</v>
      </c>
      <c r="D60" s="58">
        <f>TRUNC((((22*18))-(((22*18))*0.2)),2)</f>
        <v>316.8</v>
      </c>
    </row>
    <row r="61" spans="1:4">
      <c r="A61" s="56" t="s">
        <v>48</v>
      </c>
      <c r="B61" t="s">
        <v>100</v>
      </c>
      <c r="C61" s="57"/>
      <c r="D61" s="58">
        <v>0</v>
      </c>
    </row>
    <row r="62" spans="1:6">
      <c r="A62" s="76" t="s">
        <v>50</v>
      </c>
      <c r="B62" s="77" t="s">
        <v>206</v>
      </c>
      <c r="C62" s="78"/>
      <c r="D62" s="78">
        <v>0</v>
      </c>
      <c r="F62" s="77"/>
    </row>
    <row r="63" spans="1:4">
      <c r="A63" s="56" t="s">
        <v>53</v>
      </c>
      <c r="B63" s="61" t="s">
        <v>207</v>
      </c>
      <c r="C63" s="57" t="str">
        <f>C60</f>
        <v>CCT PB000047/2021</v>
      </c>
      <c r="D63" s="58">
        <v>15</v>
      </c>
    </row>
    <row r="64" spans="1:4">
      <c r="A64" s="56" t="s">
        <v>55</v>
      </c>
      <c r="B64" s="79" t="s">
        <v>208</v>
      </c>
      <c r="C64" s="78" t="str">
        <f>C60</f>
        <v>CCT PB000047/2021</v>
      </c>
      <c r="D64" s="58">
        <v>5</v>
      </c>
    </row>
    <row r="65" spans="1:4">
      <c r="A65" s="56" t="s">
        <v>58</v>
      </c>
      <c r="D65" s="64">
        <f>TRUNC((SUM(D59:D64)),2)</f>
        <v>364.87</v>
      </c>
    </row>
    <row r="66" spans="1:4">
      <c r="A66" s="56"/>
      <c r="D66" s="64"/>
    </row>
    <row r="67" spans="1:4">
      <c r="A67" s="55" t="s">
        <v>105</v>
      </c>
      <c r="B67" s="55"/>
      <c r="C67" s="55"/>
      <c r="D67" s="55"/>
    </row>
    <row r="68" spans="1:4">
      <c r="A68" s="56" t="s">
        <v>106</v>
      </c>
      <c r="B68" s="61" t="s">
        <v>107</v>
      </c>
      <c r="C68" s="56" t="s">
        <v>18</v>
      </c>
      <c r="D68" s="56" t="s">
        <v>19</v>
      </c>
    </row>
    <row r="69" spans="1:4">
      <c r="A69" s="56" t="s">
        <v>65</v>
      </c>
      <c r="B69" t="s">
        <v>66</v>
      </c>
      <c r="C69" s="56"/>
      <c r="D69" s="64">
        <f>D39</f>
        <v>500.76</v>
      </c>
    </row>
    <row r="70" spans="1:4">
      <c r="A70" s="56" t="s">
        <v>78</v>
      </c>
      <c r="B70" t="s">
        <v>79</v>
      </c>
      <c r="C70" s="56"/>
      <c r="D70" s="64">
        <f>D55</f>
        <v>1224.26</v>
      </c>
    </row>
    <row r="71" spans="1:4">
      <c r="A71" s="56" t="s">
        <v>96</v>
      </c>
      <c r="B71" t="s">
        <v>97</v>
      </c>
      <c r="C71" s="56"/>
      <c r="D71" s="64">
        <f>D65</f>
        <v>364.87</v>
      </c>
    </row>
    <row r="72" spans="1:4">
      <c r="A72" s="56" t="s">
        <v>58</v>
      </c>
      <c r="C72" s="56"/>
      <c r="D72" s="64">
        <f>TRUNC((SUM(D69:D71)),2)</f>
        <v>2089.89</v>
      </c>
    </row>
    <row r="74" spans="1:4">
      <c r="A74" s="39" t="s">
        <v>108</v>
      </c>
      <c r="B74" s="39"/>
      <c r="C74" s="39"/>
      <c r="D74" s="39"/>
    </row>
    <row r="75" spans="1:4">
      <c r="A75" s="56" t="s">
        <v>109</v>
      </c>
      <c r="B75" s="61" t="s">
        <v>110</v>
      </c>
      <c r="C75" s="56" t="s">
        <v>38</v>
      </c>
      <c r="D75" s="56" t="s">
        <v>19</v>
      </c>
    </row>
    <row r="76" spans="1:4">
      <c r="A76" s="56" t="s">
        <v>42</v>
      </c>
      <c r="B76" t="s">
        <v>111</v>
      </c>
      <c r="C76" s="74">
        <f>((1/12)*5%)</f>
        <v>0.00416666666666667</v>
      </c>
      <c r="D76" s="58">
        <f t="shared" ref="D76:D79" si="1">TRUNC(($D$31*C76),2)</f>
        <v>10.73</v>
      </c>
    </row>
    <row r="77" spans="1:4">
      <c r="A77" s="56" t="s">
        <v>45</v>
      </c>
      <c r="B77" t="s">
        <v>112</v>
      </c>
      <c r="C77" s="80">
        <v>0.08</v>
      </c>
      <c r="D77" s="64">
        <f>TRUNC(($D$76*C77),2)</f>
        <v>0.85</v>
      </c>
    </row>
    <row r="78" ht="30" spans="1:4">
      <c r="A78" s="56" t="s">
        <v>48</v>
      </c>
      <c r="B78" s="81" t="s">
        <v>113</v>
      </c>
      <c r="C78" s="82">
        <f>(0.08*0.4*0.05)</f>
        <v>0.0016</v>
      </c>
      <c r="D78" s="78">
        <f t="shared" si="1"/>
        <v>4.12</v>
      </c>
    </row>
    <row r="79" spans="1:4">
      <c r="A79" s="56" t="s">
        <v>50</v>
      </c>
      <c r="B79" t="s">
        <v>114</v>
      </c>
      <c r="C79" s="83">
        <f>(((7/30)/12)*0.95)</f>
        <v>0.0184722222222222</v>
      </c>
      <c r="D79" s="84">
        <f t="shared" si="1"/>
        <v>47.57</v>
      </c>
    </row>
    <row r="80" ht="30" spans="1:4">
      <c r="A80" s="56" t="s">
        <v>53</v>
      </c>
      <c r="B80" s="81" t="s">
        <v>209</v>
      </c>
      <c r="C80" s="82">
        <f>C55</f>
        <v>0.398</v>
      </c>
      <c r="D80" s="78">
        <f>TRUNC(($D$79*C80),2)</f>
        <v>18.93</v>
      </c>
    </row>
    <row r="81" ht="30" spans="1:4">
      <c r="A81" s="56" t="s">
        <v>55</v>
      </c>
      <c r="B81" s="81" t="s">
        <v>115</v>
      </c>
      <c r="C81" s="83">
        <f>(0.08*0.4*0.95)</f>
        <v>0.0304</v>
      </c>
      <c r="D81" s="85">
        <f>TRUNC(($D$31*C81),2)</f>
        <v>78.29</v>
      </c>
    </row>
    <row r="82" spans="1:4">
      <c r="A82" s="56" t="s">
        <v>58</v>
      </c>
      <c r="C82" s="80">
        <f>SUM(C76:C81)</f>
        <v>0.532638888888889</v>
      </c>
      <c r="D82" s="64">
        <f>TRUNC((SUM(D76:D81)),2)</f>
        <v>160.49</v>
      </c>
    </row>
    <row r="83" ht="15.75" spans="1:4">
      <c r="A83" s="56"/>
      <c r="D83" s="64"/>
    </row>
    <row r="84" ht="16.5" spans="1:4">
      <c r="A84" s="68" t="s">
        <v>210</v>
      </c>
      <c r="B84" s="68"/>
      <c r="C84" s="69" t="s">
        <v>202</v>
      </c>
      <c r="D84" s="70">
        <f>D31</f>
        <v>2575.36</v>
      </c>
    </row>
    <row r="85" ht="16.5" spans="1:4">
      <c r="A85" s="68"/>
      <c r="B85" s="68"/>
      <c r="C85" s="71" t="s">
        <v>211</v>
      </c>
      <c r="D85" s="70">
        <f>D72</f>
        <v>2089.89</v>
      </c>
    </row>
    <row r="86" ht="16.5" spans="1:4">
      <c r="A86" s="68"/>
      <c r="B86" s="68"/>
      <c r="C86" s="69" t="s">
        <v>212</v>
      </c>
      <c r="D86" s="70">
        <f>D82</f>
        <v>160.49</v>
      </c>
    </row>
    <row r="87" ht="16.5" spans="1:4">
      <c r="A87" s="68"/>
      <c r="B87" s="68"/>
      <c r="C87" s="71" t="s">
        <v>204</v>
      </c>
      <c r="D87" s="72">
        <f>TRUNC((SUM(D84:D86)),2)</f>
        <v>4825.74</v>
      </c>
    </row>
    <row r="88" ht="15.75" spans="1:4">
      <c r="A88" s="56"/>
      <c r="D88" s="64"/>
    </row>
    <row r="89" spans="1:4">
      <c r="A89" s="86" t="s">
        <v>127</v>
      </c>
      <c r="B89" s="86"/>
      <c r="C89" s="86"/>
      <c r="D89" s="86"/>
    </row>
    <row r="90" spans="1:4">
      <c r="A90" s="55" t="s">
        <v>128</v>
      </c>
      <c r="B90" s="55"/>
      <c r="C90" s="55"/>
      <c r="D90" s="55"/>
    </row>
    <row r="91" spans="1:4">
      <c r="A91" s="56" t="s">
        <v>129</v>
      </c>
      <c r="B91" s="61" t="s">
        <v>130</v>
      </c>
      <c r="C91" s="56" t="s">
        <v>38</v>
      </c>
      <c r="D91" s="56" t="s">
        <v>19</v>
      </c>
    </row>
    <row r="92" spans="1:4">
      <c r="A92" s="56" t="s">
        <v>42</v>
      </c>
      <c r="B92" t="s">
        <v>213</v>
      </c>
      <c r="C92" s="80">
        <f>(((1+1/3)/12)/12)+((1/12)/12)</f>
        <v>0.0162037037037037</v>
      </c>
      <c r="D92" s="64">
        <f t="shared" ref="D92:D96" si="2">TRUNC(($D$87*C92),2)</f>
        <v>78.19</v>
      </c>
    </row>
    <row r="93" spans="1:4">
      <c r="A93" s="56" t="s">
        <v>45</v>
      </c>
      <c r="B93" t="s">
        <v>133</v>
      </c>
      <c r="C93" s="74">
        <f>((2/30)/12)</f>
        <v>0.00555555555555556</v>
      </c>
      <c r="D93" s="78">
        <f t="shared" si="2"/>
        <v>26.8</v>
      </c>
    </row>
    <row r="94" spans="1:4">
      <c r="A94" s="56" t="s">
        <v>48</v>
      </c>
      <c r="B94" t="s">
        <v>134</v>
      </c>
      <c r="C94" s="74">
        <f>((5/30)/12)*0.02</f>
        <v>0.000277777777777778</v>
      </c>
      <c r="D94" s="78">
        <f t="shared" si="2"/>
        <v>1.34</v>
      </c>
    </row>
    <row r="95" spans="1:4">
      <c r="A95" s="76" t="s">
        <v>50</v>
      </c>
      <c r="B95" s="81" t="s">
        <v>135</v>
      </c>
      <c r="C95" s="82">
        <f>((15/30)/12)*0.08</f>
        <v>0.00333333333333333</v>
      </c>
      <c r="D95" s="78">
        <f t="shared" si="2"/>
        <v>16.08</v>
      </c>
    </row>
    <row r="96" spans="1:4">
      <c r="A96" s="56" t="s">
        <v>53</v>
      </c>
      <c r="B96" t="s">
        <v>136</v>
      </c>
      <c r="C96" s="74">
        <f>((1+1/3)/12)*0.03*((4/12))</f>
        <v>0.00111111111111111</v>
      </c>
      <c r="D96" s="78">
        <f t="shared" si="2"/>
        <v>5.36</v>
      </c>
    </row>
    <row r="97" spans="1:4">
      <c r="A97" s="56" t="s">
        <v>55</v>
      </c>
      <c r="B97" s="81" t="s">
        <v>214</v>
      </c>
      <c r="C97" s="87">
        <v>0</v>
      </c>
      <c r="D97" s="78">
        <f>TRUNC($D$87*C97)</f>
        <v>0</v>
      </c>
    </row>
    <row r="98" spans="1:4">
      <c r="A98" s="56" t="s">
        <v>58</v>
      </c>
      <c r="C98" s="80">
        <f>SUM(C92:C97)</f>
        <v>0.0264814814814815</v>
      </c>
      <c r="D98" s="64">
        <f>TRUNC((SUM(D92:D97)),2)</f>
        <v>127.77</v>
      </c>
    </row>
    <row r="99" spans="1:4">
      <c r="A99" s="56"/>
      <c r="C99" s="56"/>
      <c r="D99" s="64"/>
    </row>
    <row r="100" spans="1:4">
      <c r="A100" s="55" t="s">
        <v>144</v>
      </c>
      <c r="B100" s="55"/>
      <c r="C100" s="55"/>
      <c r="D100" s="55"/>
    </row>
    <row r="101" spans="1:4">
      <c r="A101" s="56" t="s">
        <v>145</v>
      </c>
      <c r="B101" s="61" t="s">
        <v>146</v>
      </c>
      <c r="C101" s="56" t="s">
        <v>18</v>
      </c>
      <c r="D101" s="56" t="s">
        <v>19</v>
      </c>
    </row>
    <row r="102" ht="120" spans="1:4">
      <c r="A102" s="76" t="s">
        <v>42</v>
      </c>
      <c r="B102" s="88" t="s">
        <v>147</v>
      </c>
      <c r="C102" s="89" t="s">
        <v>215</v>
      </c>
      <c r="D102" s="90" t="s">
        <v>216</v>
      </c>
    </row>
    <row r="103" spans="1:4">
      <c r="A103" s="56" t="s">
        <v>58</v>
      </c>
      <c r="C103" s="91"/>
      <c r="D103" s="92" t="str">
        <f>D102</f>
        <v>*=TRUNCAR(($D$86/220)*(1*(365/12))/2)</v>
      </c>
    </row>
    <row r="105" spans="1:4">
      <c r="A105" s="55" t="s">
        <v>148</v>
      </c>
      <c r="B105" s="55"/>
      <c r="C105" s="55"/>
      <c r="D105" s="55"/>
    </row>
    <row r="106" spans="1:4">
      <c r="A106" s="56" t="s">
        <v>149</v>
      </c>
      <c r="B106" s="61" t="s">
        <v>150</v>
      </c>
      <c r="C106" s="56" t="s">
        <v>18</v>
      </c>
      <c r="D106" s="56" t="s">
        <v>19</v>
      </c>
    </row>
    <row r="107" spans="1:4">
      <c r="A107" s="56" t="s">
        <v>129</v>
      </c>
      <c r="B107" t="s">
        <v>130</v>
      </c>
      <c r="D107" s="58">
        <f>D98</f>
        <v>127.77</v>
      </c>
    </row>
    <row r="108" spans="1:4">
      <c r="A108" s="56" t="s">
        <v>145</v>
      </c>
      <c r="B108" t="s">
        <v>151</v>
      </c>
      <c r="C108" s="61"/>
      <c r="D108" s="93"/>
    </row>
    <row r="109" ht="90" spans="1:4">
      <c r="A109" s="76" t="s">
        <v>58</v>
      </c>
      <c r="B109" s="77"/>
      <c r="C109" s="89" t="s">
        <v>217</v>
      </c>
      <c r="D109" s="94">
        <f>TRUNC((SUM(D107:D108)),2)</f>
        <v>127.77</v>
      </c>
    </row>
    <row r="111" spans="1:4">
      <c r="A111" s="39" t="s">
        <v>152</v>
      </c>
      <c r="B111" s="39"/>
      <c r="C111" s="39"/>
      <c r="D111" s="39"/>
    </row>
    <row r="112" spans="1:4">
      <c r="A112" s="76" t="s">
        <v>153</v>
      </c>
      <c r="B112" s="77" t="s">
        <v>154</v>
      </c>
      <c r="C112" s="76" t="s">
        <v>18</v>
      </c>
      <c r="D112" s="76" t="s">
        <v>19</v>
      </c>
    </row>
    <row r="113" spans="1:4">
      <c r="A113" s="56" t="s">
        <v>42</v>
      </c>
      <c r="B113" t="s">
        <v>218</v>
      </c>
      <c r="D113" s="95">
        <f>Uniformes!G12</f>
        <v>87.37</v>
      </c>
    </row>
    <row r="114" spans="1:4">
      <c r="A114" s="56" t="s">
        <v>45</v>
      </c>
      <c r="B114" t="s">
        <v>219</v>
      </c>
      <c r="D114" s="58">
        <v>0</v>
      </c>
    </row>
    <row r="115" spans="1:4">
      <c r="A115" s="56" t="s">
        <v>48</v>
      </c>
      <c r="B115" t="s">
        <v>156</v>
      </c>
      <c r="D115" s="58">
        <v>0</v>
      </c>
    </row>
    <row r="116" spans="1:4">
      <c r="A116" s="56" t="s">
        <v>50</v>
      </c>
      <c r="B116" t="s">
        <v>157</v>
      </c>
      <c r="D116" s="58">
        <v>0</v>
      </c>
    </row>
    <row r="117" spans="1:4">
      <c r="A117" s="56" t="s">
        <v>53</v>
      </c>
      <c r="B117" t="s">
        <v>220</v>
      </c>
      <c r="C117" s="56"/>
      <c r="D117" s="58">
        <v>0</v>
      </c>
    </row>
    <row r="118" spans="1:4">
      <c r="A118" s="56" t="s">
        <v>58</v>
      </c>
      <c r="D118" s="64">
        <f>TRUNC(SUM(D113:D117),2)</f>
        <v>87.37</v>
      </c>
    </row>
    <row r="120" ht="16.5" spans="1:4">
      <c r="A120" s="68" t="s">
        <v>221</v>
      </c>
      <c r="B120" s="68"/>
      <c r="C120" s="69" t="s">
        <v>202</v>
      </c>
      <c r="D120" s="70">
        <f>D31</f>
        <v>2575.36</v>
      </c>
    </row>
    <row r="121" ht="16.5" spans="1:4">
      <c r="A121" s="68"/>
      <c r="B121" s="68"/>
      <c r="C121" s="71" t="s">
        <v>211</v>
      </c>
      <c r="D121" s="70">
        <f>D72</f>
        <v>2089.89</v>
      </c>
    </row>
    <row r="122" ht="16.5" spans="1:4">
      <c r="A122" s="68"/>
      <c r="B122" s="68"/>
      <c r="C122" s="69" t="s">
        <v>212</v>
      </c>
      <c r="D122" s="70">
        <f>D82</f>
        <v>160.49</v>
      </c>
    </row>
    <row r="123" ht="16.5" spans="1:4">
      <c r="A123" s="68"/>
      <c r="B123" s="68"/>
      <c r="C123" s="71" t="s">
        <v>222</v>
      </c>
      <c r="D123" s="70">
        <f>D109</f>
        <v>127.77</v>
      </c>
    </row>
    <row r="124" ht="16.5" spans="1:4">
      <c r="A124" s="68"/>
      <c r="B124" s="68"/>
      <c r="C124" s="69" t="s">
        <v>223</v>
      </c>
      <c r="D124" s="70">
        <f>D118</f>
        <v>87.37</v>
      </c>
    </row>
    <row r="125" ht="16.5" spans="1:4">
      <c r="A125" s="68"/>
      <c r="B125" s="68"/>
      <c r="C125" s="71" t="s">
        <v>204</v>
      </c>
      <c r="D125" s="72">
        <f>TRUNC((SUM(D120:D124)),2)</f>
        <v>5040.88</v>
      </c>
    </row>
    <row r="126" ht="15.75"/>
    <row r="127" spans="1:4">
      <c r="A127" s="39" t="s">
        <v>164</v>
      </c>
      <c r="B127" s="39"/>
      <c r="C127" s="39"/>
      <c r="D127" s="39"/>
    </row>
    <row r="128" spans="1:7">
      <c r="A128" s="56" t="s">
        <v>165</v>
      </c>
      <c r="B128" t="s">
        <v>166</v>
      </c>
      <c r="C128" s="56" t="s">
        <v>38</v>
      </c>
      <c r="D128" s="56" t="s">
        <v>19</v>
      </c>
      <c r="F128" s="96" t="s">
        <v>224</v>
      </c>
      <c r="G128" s="96"/>
    </row>
    <row r="129" ht="15.75" spans="1:7">
      <c r="A129" s="56" t="s">
        <v>42</v>
      </c>
      <c r="B129" t="s">
        <v>167</v>
      </c>
      <c r="C129" s="97">
        <v>0.0404</v>
      </c>
      <c r="D129" s="95">
        <f>TRUNC(($D$125*C129),2)</f>
        <v>203.65</v>
      </c>
      <c r="F129" s="98" t="s">
        <v>225</v>
      </c>
      <c r="G129" s="82">
        <f>C131</f>
        <v>0.0865</v>
      </c>
    </row>
    <row r="130" ht="15.75" spans="1:7">
      <c r="A130" s="56" t="s">
        <v>45</v>
      </c>
      <c r="B130" t="s">
        <v>59</v>
      </c>
      <c r="C130" s="97">
        <v>0.035</v>
      </c>
      <c r="D130" s="95">
        <f>TRUNC((C130*(D125+D129)),2)</f>
        <v>183.55</v>
      </c>
      <c r="F130" s="99" t="s">
        <v>226</v>
      </c>
      <c r="G130" s="100">
        <f>TRUNC(SUM(D125,D129,D130),2)</f>
        <v>5428.08</v>
      </c>
    </row>
    <row r="131" spans="1:7">
      <c r="A131" s="56" t="s">
        <v>48</v>
      </c>
      <c r="B131" t="s">
        <v>168</v>
      </c>
      <c r="C131" s="74">
        <f>SUM(C132:C134)</f>
        <v>0.0865</v>
      </c>
      <c r="D131" s="58">
        <f>SUM(D132:D134)</f>
        <v>513.98</v>
      </c>
      <c r="F131" s="98" t="s">
        <v>227</v>
      </c>
      <c r="G131" s="101">
        <f>(100-8.65)/100</f>
        <v>0.9135</v>
      </c>
    </row>
    <row r="132" ht="15.75" spans="1:7">
      <c r="A132" s="56"/>
      <c r="B132" t="s">
        <v>228</v>
      </c>
      <c r="C132" s="74">
        <v>0.0065</v>
      </c>
      <c r="D132" s="58">
        <f t="shared" ref="D132:D134" si="3">TRUNC(($G$132*C132),2)</f>
        <v>38.62</v>
      </c>
      <c r="F132" s="99" t="s">
        <v>224</v>
      </c>
      <c r="G132" s="100">
        <f>TRUNC((G130/G131),2)</f>
        <v>5942.06</v>
      </c>
    </row>
    <row r="133" ht="15.75" spans="1:4">
      <c r="A133" s="56"/>
      <c r="B133" t="s">
        <v>229</v>
      </c>
      <c r="C133" s="74">
        <v>0.03</v>
      </c>
      <c r="D133" s="58">
        <f t="shared" si="3"/>
        <v>178.26</v>
      </c>
    </row>
    <row r="134" spans="1:4">
      <c r="A134" s="56"/>
      <c r="B134" t="s">
        <v>230</v>
      </c>
      <c r="C134" s="74">
        <v>0.05</v>
      </c>
      <c r="D134" s="58">
        <f t="shared" si="3"/>
        <v>297.1</v>
      </c>
    </row>
    <row r="135" spans="1:4">
      <c r="A135" s="56" t="s">
        <v>58</v>
      </c>
      <c r="B135" s="102"/>
      <c r="C135" s="103"/>
      <c r="D135" s="64">
        <f>SUM(D129:D131)</f>
        <v>901.18</v>
      </c>
    </row>
    <row r="136" spans="1:4">
      <c r="A136" s="56"/>
      <c r="C136" s="103"/>
      <c r="D136" s="64"/>
    </row>
    <row r="138" spans="1:4">
      <c r="A138" s="39" t="s">
        <v>172</v>
      </c>
      <c r="B138" s="39"/>
      <c r="C138" s="39"/>
      <c r="D138" s="39"/>
    </row>
    <row r="139" spans="1:4">
      <c r="A139" s="56" t="s">
        <v>16</v>
      </c>
      <c r="B139" s="56" t="s">
        <v>173</v>
      </c>
      <c r="C139" s="56" t="s">
        <v>102</v>
      </c>
      <c r="D139" s="56" t="s">
        <v>19</v>
      </c>
    </row>
    <row r="140" spans="1:4">
      <c r="A140" s="56" t="s">
        <v>42</v>
      </c>
      <c r="B140" t="s">
        <v>36</v>
      </c>
      <c r="D140" s="64">
        <f>D31</f>
        <v>2575.36</v>
      </c>
    </row>
    <row r="141" spans="1:4">
      <c r="A141" s="56" t="s">
        <v>45</v>
      </c>
      <c r="B141" t="s">
        <v>61</v>
      </c>
      <c r="D141" s="64">
        <f>D72</f>
        <v>2089.89</v>
      </c>
    </row>
    <row r="142" spans="1:4">
      <c r="A142" s="56" t="s">
        <v>48</v>
      </c>
      <c r="B142" t="s">
        <v>108</v>
      </c>
      <c r="D142" s="64">
        <f>D82</f>
        <v>160.49</v>
      </c>
    </row>
    <row r="143" spans="1:4">
      <c r="A143" s="56" t="s">
        <v>50</v>
      </c>
      <c r="B143" t="s">
        <v>174</v>
      </c>
      <c r="D143" s="64">
        <f>D109</f>
        <v>127.77</v>
      </c>
    </row>
    <row r="144" spans="1:4">
      <c r="A144" s="56" t="s">
        <v>53</v>
      </c>
      <c r="B144" t="s">
        <v>152</v>
      </c>
      <c r="D144" s="64">
        <f>D118</f>
        <v>87.37</v>
      </c>
    </row>
    <row r="145" spans="2:4">
      <c r="B145" s="104" t="s">
        <v>175</v>
      </c>
      <c r="D145" s="64">
        <f>SUM(D140:D144)</f>
        <v>5040.88</v>
      </c>
    </row>
    <row r="146" spans="1:4">
      <c r="A146" s="56" t="s">
        <v>55</v>
      </c>
      <c r="B146" t="s">
        <v>164</v>
      </c>
      <c r="D146" s="64">
        <f>D135</f>
        <v>901.18</v>
      </c>
    </row>
    <row r="147" spans="1:4">
      <c r="A147" s="105"/>
      <c r="B147" s="106" t="s">
        <v>231</v>
      </c>
      <c r="C147" s="105"/>
      <c r="D147" s="107">
        <f>TRUNC((SUM(D140:D144)+D146),2)</f>
        <v>5942.06</v>
      </c>
    </row>
  </sheetData>
  <mergeCells count="33">
    <mergeCell ref="A2:D2"/>
    <mergeCell ref="A3:D3"/>
    <mergeCell ref="A6:D6"/>
    <mergeCell ref="C7:D7"/>
    <mergeCell ref="C8:D8"/>
    <mergeCell ref="C9:D9"/>
    <mergeCell ref="C10:D10"/>
    <mergeCell ref="A11:D11"/>
    <mergeCell ref="A12:B12"/>
    <mergeCell ref="A13:B13"/>
    <mergeCell ref="A14:B14"/>
    <mergeCell ref="A15:D15"/>
    <mergeCell ref="F15:G15"/>
    <mergeCell ref="F22:G22"/>
    <mergeCell ref="A23:D23"/>
    <mergeCell ref="F31:G31"/>
    <mergeCell ref="A33:D33"/>
    <mergeCell ref="A35:D35"/>
    <mergeCell ref="A45:D45"/>
    <mergeCell ref="A57:D57"/>
    <mergeCell ref="A67:D67"/>
    <mergeCell ref="A74:D74"/>
    <mergeCell ref="A89:D89"/>
    <mergeCell ref="A90:D90"/>
    <mergeCell ref="A100:D100"/>
    <mergeCell ref="A105:D105"/>
    <mergeCell ref="A111:D111"/>
    <mergeCell ref="A127:D127"/>
    <mergeCell ref="F128:G128"/>
    <mergeCell ref="A138:D138"/>
    <mergeCell ref="A41:B43"/>
    <mergeCell ref="A84:B87"/>
    <mergeCell ref="A120:B125"/>
  </mergeCells>
  <pageMargins left="0.75" right="0.75" top="1" bottom="1" header="0.5" footer="0.5"/>
  <pageSetup paperSize="9" orientation="landscape"/>
  <headerFooter/>
  <tableParts count="13">
    <tablePart r:id="rId1"/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</tableParts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G147"/>
  <sheetViews>
    <sheetView workbookViewId="0">
      <selection activeCell="D148" sqref="A1:D148"/>
    </sheetView>
  </sheetViews>
  <sheetFormatPr defaultColWidth="9.14285714285714" defaultRowHeight="15" outlineLevelCol="6"/>
  <cols>
    <col min="1" max="1" width="10.5714285714286" customWidth="1"/>
    <col min="2" max="2" width="58.1428571428571" customWidth="1"/>
    <col min="3" max="3" width="21.4285714285714" customWidth="1"/>
    <col min="4" max="4" width="33.8571428571429" customWidth="1"/>
    <col min="6" max="6" width="22.8571428571429" customWidth="1"/>
    <col min="7" max="7" width="11.4285714285714" customWidth="1"/>
  </cols>
  <sheetData>
    <row r="2" ht="19.5" spans="1:4">
      <c r="A2" s="32" t="s">
        <v>177</v>
      </c>
      <c r="B2" s="32"/>
      <c r="C2" s="32"/>
      <c r="D2" s="32"/>
    </row>
    <row r="3" ht="15.75" spans="1:4">
      <c r="A3" s="33" t="s">
        <v>178</v>
      </c>
      <c r="B3" s="33"/>
      <c r="C3" s="33"/>
      <c r="D3" s="33"/>
    </row>
    <row r="4" spans="1:4">
      <c r="A4" s="34" t="s">
        <v>179</v>
      </c>
      <c r="B4" s="35" t="s">
        <v>180</v>
      </c>
      <c r="C4" s="36"/>
      <c r="D4" s="36"/>
    </row>
    <row r="5" spans="1:4">
      <c r="A5" s="37"/>
      <c r="B5" s="38"/>
      <c r="C5" s="38"/>
      <c r="D5" s="38"/>
    </row>
    <row r="6" ht="15.75" spans="1:4">
      <c r="A6" s="39" t="s">
        <v>181</v>
      </c>
      <c r="B6" s="39"/>
      <c r="C6" s="39"/>
      <c r="D6" s="39"/>
    </row>
    <row r="7" ht="15.75" spans="1:4">
      <c r="A7" s="40" t="s">
        <v>42</v>
      </c>
      <c r="B7" s="41" t="s">
        <v>182</v>
      </c>
      <c r="C7" s="42" t="s">
        <v>183</v>
      </c>
      <c r="D7" s="42"/>
    </row>
    <row r="8" spans="1:4">
      <c r="A8" s="43" t="s">
        <v>45</v>
      </c>
      <c r="B8" s="44" t="s">
        <v>184</v>
      </c>
      <c r="C8" s="45" t="s">
        <v>185</v>
      </c>
      <c r="D8" s="45"/>
    </row>
    <row r="9" spans="1:4">
      <c r="A9" s="46" t="s">
        <v>48</v>
      </c>
      <c r="B9" s="47" t="s">
        <v>186</v>
      </c>
      <c r="C9" s="45" t="s">
        <v>187</v>
      </c>
      <c r="D9" s="45"/>
    </row>
    <row r="10" spans="1:4">
      <c r="A10" s="43" t="s">
        <v>53</v>
      </c>
      <c r="B10" s="44" t="s">
        <v>188</v>
      </c>
      <c r="C10" s="45" t="s">
        <v>189</v>
      </c>
      <c r="D10" s="45"/>
    </row>
    <row r="11" ht="15.75" spans="1:4">
      <c r="A11" s="48" t="s">
        <v>190</v>
      </c>
      <c r="B11" s="48"/>
      <c r="C11" s="48"/>
      <c r="D11" s="48"/>
    </row>
    <row r="12" ht="16.5" spans="1:4">
      <c r="A12" s="49" t="s">
        <v>191</v>
      </c>
      <c r="B12" s="49"/>
      <c r="C12" s="48" t="s">
        <v>192</v>
      </c>
      <c r="D12" s="50" t="s">
        <v>193</v>
      </c>
    </row>
    <row r="13" ht="15.75" spans="1:4">
      <c r="A13" s="51" t="s">
        <v>239</v>
      </c>
      <c r="B13" s="51"/>
      <c r="C13" s="45" t="s">
        <v>195</v>
      </c>
      <c r="D13" s="52">
        <f>RESUMO!D7</f>
        <v>2</v>
      </c>
    </row>
    <row r="14" spans="1:4">
      <c r="A14" s="53"/>
      <c r="B14" s="53"/>
      <c r="C14" s="45"/>
      <c r="D14" s="54"/>
    </row>
    <row r="15" ht="15.75" spans="1:7">
      <c r="A15" s="48" t="s">
        <v>14</v>
      </c>
      <c r="B15" s="48"/>
      <c r="C15" s="48"/>
      <c r="D15" s="48"/>
      <c r="F15" s="55"/>
      <c r="G15" s="55"/>
    </row>
    <row r="16" ht="15.75" spans="1:4">
      <c r="A16" s="56" t="s">
        <v>16</v>
      </c>
      <c r="B16" t="s">
        <v>17</v>
      </c>
      <c r="C16" s="56" t="s">
        <v>18</v>
      </c>
      <c r="D16" s="56" t="s">
        <v>19</v>
      </c>
    </row>
    <row r="17" spans="1:4">
      <c r="A17" s="56">
        <v>1</v>
      </c>
      <c r="B17" t="s">
        <v>20</v>
      </c>
      <c r="C17" s="57" t="s">
        <v>102</v>
      </c>
      <c r="D17" s="57" t="str">
        <f>A13</f>
        <v>Alfabetizador de Joves e Adultos</v>
      </c>
    </row>
    <row r="18" spans="1:4">
      <c r="A18" s="56">
        <v>2</v>
      </c>
      <c r="B18" t="s">
        <v>23</v>
      </c>
      <c r="C18" s="57" t="s">
        <v>196</v>
      </c>
      <c r="D18" s="57" t="s">
        <v>240</v>
      </c>
    </row>
    <row r="19" spans="1:4">
      <c r="A19" s="56">
        <v>3</v>
      </c>
      <c r="B19" t="s">
        <v>26</v>
      </c>
      <c r="C19" s="57" t="str">
        <f>C9</f>
        <v>CCT PB000047/2021</v>
      </c>
      <c r="D19" s="58">
        <v>2575.36</v>
      </c>
    </row>
    <row r="20" spans="1:4">
      <c r="A20" s="56">
        <v>4</v>
      </c>
      <c r="B20" t="s">
        <v>29</v>
      </c>
      <c r="C20" s="57" t="str">
        <f>C9</f>
        <v>CCT PB000047/2021</v>
      </c>
      <c r="D20" s="59" t="s">
        <v>198</v>
      </c>
    </row>
    <row r="21" spans="1:4">
      <c r="A21" s="56">
        <v>5</v>
      </c>
      <c r="B21" t="s">
        <v>33</v>
      </c>
      <c r="C21" s="57" t="str">
        <f>C9</f>
        <v>CCT PB000047/2021</v>
      </c>
      <c r="D21" s="60" t="s">
        <v>199</v>
      </c>
    </row>
    <row r="22" spans="6:7">
      <c r="F22" s="55"/>
      <c r="G22" s="55"/>
    </row>
    <row r="23" spans="1:4">
      <c r="A23" s="39" t="s">
        <v>36</v>
      </c>
      <c r="B23" s="39"/>
      <c r="C23" s="39"/>
      <c r="D23" s="39"/>
    </row>
    <row r="24" spans="1:7">
      <c r="A24" s="56" t="s">
        <v>39</v>
      </c>
      <c r="B24" s="61" t="s">
        <v>40</v>
      </c>
      <c r="C24" s="56" t="s">
        <v>18</v>
      </c>
      <c r="D24" s="56" t="s">
        <v>19</v>
      </c>
      <c r="G24" s="62"/>
    </row>
    <row r="25" spans="1:7">
      <c r="A25" s="56" t="s">
        <v>42</v>
      </c>
      <c r="B25" t="s">
        <v>43</v>
      </c>
      <c r="C25" s="63" t="s">
        <v>200</v>
      </c>
      <c r="D25" s="58">
        <f>D19</f>
        <v>2575.36</v>
      </c>
      <c r="G25" s="62"/>
    </row>
    <row r="26" spans="1:7">
      <c r="A26" s="56" t="s">
        <v>45</v>
      </c>
      <c r="B26" t="s">
        <v>46</v>
      </c>
      <c r="C26" s="59"/>
      <c r="D26" s="58">
        <v>0</v>
      </c>
      <c r="G26" s="62"/>
    </row>
    <row r="27" spans="1:4">
      <c r="A27" s="56" t="s">
        <v>48</v>
      </c>
      <c r="B27" t="s">
        <v>49</v>
      </c>
      <c r="C27" s="59"/>
      <c r="D27" s="58">
        <v>0</v>
      </c>
    </row>
    <row r="28" spans="1:4">
      <c r="A28" s="56" t="s">
        <v>50</v>
      </c>
      <c r="B28" t="s">
        <v>51</v>
      </c>
      <c r="C28" s="59"/>
      <c r="D28" s="58">
        <v>0</v>
      </c>
    </row>
    <row r="29" spans="1:4">
      <c r="A29" s="56" t="s">
        <v>53</v>
      </c>
      <c r="B29" t="s">
        <v>54</v>
      </c>
      <c r="C29" s="59"/>
      <c r="D29" s="58">
        <v>0</v>
      </c>
    </row>
    <row r="30" spans="1:4">
      <c r="A30" s="56" t="s">
        <v>55</v>
      </c>
      <c r="B30" t="s">
        <v>56</v>
      </c>
      <c r="C30" s="59"/>
      <c r="D30" s="58">
        <v>0</v>
      </c>
    </row>
    <row r="31" spans="1:7">
      <c r="A31" s="56" t="s">
        <v>58</v>
      </c>
      <c r="C31" s="56"/>
      <c r="D31" s="64">
        <f>TRUNC((SUM(D25:D30)),2)</f>
        <v>2575.36</v>
      </c>
      <c r="F31" s="55"/>
      <c r="G31" s="55"/>
    </row>
    <row r="33" spans="1:7">
      <c r="A33" s="65" t="s">
        <v>61</v>
      </c>
      <c r="B33" s="65"/>
      <c r="C33" s="65"/>
      <c r="D33" s="65"/>
      <c r="G33" s="62"/>
    </row>
    <row r="35" spans="1:4">
      <c r="A35" s="55" t="s">
        <v>63</v>
      </c>
      <c r="B35" s="55"/>
      <c r="C35" s="55"/>
      <c r="D35" s="55"/>
    </row>
    <row r="36" spans="1:4">
      <c r="A36" s="56" t="s">
        <v>65</v>
      </c>
      <c r="B36" s="61" t="s">
        <v>66</v>
      </c>
      <c r="C36" s="56" t="s">
        <v>38</v>
      </c>
      <c r="D36" s="56" t="s">
        <v>19</v>
      </c>
    </row>
    <row r="37" spans="1:7">
      <c r="A37" s="56" t="s">
        <v>42</v>
      </c>
      <c r="B37" t="s">
        <v>67</v>
      </c>
      <c r="C37" s="66">
        <f>(1/12)</f>
        <v>0.0833333333333333</v>
      </c>
      <c r="D37" s="64">
        <f>TRUNC($D$31*C37,2)</f>
        <v>214.61</v>
      </c>
      <c r="F37" s="67"/>
      <c r="G37" s="67"/>
    </row>
    <row r="38" spans="1:7">
      <c r="A38" s="56" t="s">
        <v>45</v>
      </c>
      <c r="B38" t="s">
        <v>68</v>
      </c>
      <c r="C38" s="66">
        <f>(((1+1/3)/12))</f>
        <v>0.111111111111111</v>
      </c>
      <c r="D38" s="64">
        <f>TRUNC($D$31*C38,2)</f>
        <v>286.15</v>
      </c>
      <c r="F38" s="67"/>
      <c r="G38" s="67"/>
    </row>
    <row r="39" spans="1:7">
      <c r="A39" s="56" t="s">
        <v>58</v>
      </c>
      <c r="D39" s="64">
        <f>TRUNC((SUM(D37:D38)),2)</f>
        <v>500.76</v>
      </c>
      <c r="F39" s="67"/>
      <c r="G39" s="67"/>
    </row>
    <row r="40" ht="15.75" spans="4:7">
      <c r="D40" s="64"/>
      <c r="F40" s="67"/>
      <c r="G40" s="67"/>
    </row>
    <row r="41" ht="16.5" spans="1:7">
      <c r="A41" s="68" t="s">
        <v>201</v>
      </c>
      <c r="B41" s="68"/>
      <c r="C41" s="69" t="s">
        <v>202</v>
      </c>
      <c r="D41" s="70">
        <f>D31</f>
        <v>2575.36</v>
      </c>
      <c r="F41" s="67"/>
      <c r="G41" s="67"/>
    </row>
    <row r="42" ht="16.5" spans="1:7">
      <c r="A42" s="68"/>
      <c r="B42" s="68"/>
      <c r="C42" s="71" t="s">
        <v>203</v>
      </c>
      <c r="D42" s="70">
        <f>D39</f>
        <v>500.76</v>
      </c>
      <c r="F42" s="67"/>
      <c r="G42" s="67"/>
    </row>
    <row r="43" ht="16.5" spans="1:7">
      <c r="A43" s="68"/>
      <c r="B43" s="68"/>
      <c r="C43" s="69" t="s">
        <v>204</v>
      </c>
      <c r="D43" s="72">
        <f>TRUNC((SUM(D41:D42)),2)</f>
        <v>3076.12</v>
      </c>
      <c r="F43" s="67"/>
      <c r="G43" s="67"/>
    </row>
    <row r="44" ht="15.75" spans="1:7">
      <c r="A44" s="56"/>
      <c r="C44" s="73"/>
      <c r="D44" s="64"/>
      <c r="F44" s="67"/>
      <c r="G44" s="67"/>
    </row>
    <row r="45" spans="1:4">
      <c r="A45" s="55" t="s">
        <v>77</v>
      </c>
      <c r="B45" s="55"/>
      <c r="C45" s="55"/>
      <c r="D45" s="55"/>
    </row>
    <row r="46" spans="1:4">
      <c r="A46" s="56" t="s">
        <v>78</v>
      </c>
      <c r="B46" s="61" t="s">
        <v>79</v>
      </c>
      <c r="C46" s="56" t="s">
        <v>38</v>
      </c>
      <c r="D46" s="56" t="s">
        <v>80</v>
      </c>
    </row>
    <row r="47" spans="1:4">
      <c r="A47" s="56" t="s">
        <v>42</v>
      </c>
      <c r="B47" t="s">
        <v>81</v>
      </c>
      <c r="C47" s="66">
        <v>0.2</v>
      </c>
      <c r="D47" s="64">
        <f t="shared" ref="D47:D54" si="0">TRUNC(($D$43*C47),2)</f>
        <v>615.22</v>
      </c>
    </row>
    <row r="48" spans="1:4">
      <c r="A48" s="56" t="s">
        <v>45</v>
      </c>
      <c r="B48" t="s">
        <v>82</v>
      </c>
      <c r="C48" s="66">
        <v>0.025</v>
      </c>
      <c r="D48" s="64">
        <f t="shared" si="0"/>
        <v>76.9</v>
      </c>
    </row>
    <row r="49" spans="1:4">
      <c r="A49" s="56" t="s">
        <v>48</v>
      </c>
      <c r="B49" t="s">
        <v>205</v>
      </c>
      <c r="C49" s="74">
        <v>0.06</v>
      </c>
      <c r="D49" s="58">
        <f t="shared" si="0"/>
        <v>184.56</v>
      </c>
    </row>
    <row r="50" spans="1:4">
      <c r="A50" s="56" t="s">
        <v>50</v>
      </c>
      <c r="B50" t="s">
        <v>84</v>
      </c>
      <c r="C50" s="66">
        <v>0.015</v>
      </c>
      <c r="D50" s="64">
        <f t="shared" si="0"/>
        <v>46.14</v>
      </c>
    </row>
    <row r="51" spans="1:4">
      <c r="A51" s="56" t="s">
        <v>53</v>
      </c>
      <c r="B51" t="s">
        <v>85</v>
      </c>
      <c r="C51" s="66">
        <v>0.01</v>
      </c>
      <c r="D51" s="64">
        <f t="shared" si="0"/>
        <v>30.76</v>
      </c>
    </row>
    <row r="52" spans="1:4">
      <c r="A52" s="56" t="s">
        <v>55</v>
      </c>
      <c r="B52" t="s">
        <v>86</v>
      </c>
      <c r="C52" s="66">
        <v>0.006</v>
      </c>
      <c r="D52" s="64">
        <f t="shared" si="0"/>
        <v>18.45</v>
      </c>
    </row>
    <row r="53" spans="1:4">
      <c r="A53" s="56" t="s">
        <v>87</v>
      </c>
      <c r="B53" t="s">
        <v>88</v>
      </c>
      <c r="C53" s="66">
        <v>0.002</v>
      </c>
      <c r="D53" s="64">
        <f t="shared" si="0"/>
        <v>6.15</v>
      </c>
    </row>
    <row r="54" spans="1:4">
      <c r="A54" s="56" t="s">
        <v>89</v>
      </c>
      <c r="B54" t="s">
        <v>90</v>
      </c>
      <c r="C54" s="66">
        <v>0.08</v>
      </c>
      <c r="D54" s="64">
        <f t="shared" si="0"/>
        <v>246.08</v>
      </c>
    </row>
    <row r="55" spans="1:4">
      <c r="A55" s="56" t="s">
        <v>58</v>
      </c>
      <c r="C55" s="73">
        <f>SUM(C47:C54)</f>
        <v>0.398</v>
      </c>
      <c r="D55" s="64">
        <f>TRUNC(SUM(D47:D54),2)</f>
        <v>1224.26</v>
      </c>
    </row>
    <row r="56" spans="1:4">
      <c r="A56" s="56"/>
      <c r="C56" s="73"/>
      <c r="D56" s="64"/>
    </row>
    <row r="57" spans="1:4">
      <c r="A57" s="55" t="s">
        <v>95</v>
      </c>
      <c r="B57" s="55"/>
      <c r="C57" s="55"/>
      <c r="D57" s="55"/>
    </row>
    <row r="58" spans="1:4">
      <c r="A58" s="56" t="s">
        <v>96</v>
      </c>
      <c r="B58" s="61" t="s">
        <v>97</v>
      </c>
      <c r="C58" s="56" t="s">
        <v>18</v>
      </c>
      <c r="D58" s="56" t="s">
        <v>19</v>
      </c>
    </row>
    <row r="59" spans="1:4">
      <c r="A59" s="56" t="s">
        <v>42</v>
      </c>
      <c r="B59" t="s">
        <v>98</v>
      </c>
      <c r="C59" s="57"/>
      <c r="D59" s="75">
        <f>TRUNC(((22*4.15)*2)-((D25/100)*6),2)</f>
        <v>28.07</v>
      </c>
    </row>
    <row r="60" spans="1:4">
      <c r="A60" s="56" t="s">
        <v>45</v>
      </c>
      <c r="B60" t="s">
        <v>99</v>
      </c>
      <c r="C60" s="57" t="str">
        <f>C9</f>
        <v>CCT PB000047/2021</v>
      </c>
      <c r="D60" s="58">
        <f>TRUNC((((22*18))-(((22*18))*0.2)),2)</f>
        <v>316.8</v>
      </c>
    </row>
    <row r="61" spans="1:4">
      <c r="A61" s="56" t="s">
        <v>48</v>
      </c>
      <c r="B61" t="s">
        <v>100</v>
      </c>
      <c r="C61" s="57"/>
      <c r="D61" s="58">
        <v>0</v>
      </c>
    </row>
    <row r="62" spans="1:6">
      <c r="A62" s="76" t="s">
        <v>50</v>
      </c>
      <c r="B62" s="77" t="s">
        <v>206</v>
      </c>
      <c r="C62" s="78"/>
      <c r="D62" s="78">
        <v>0</v>
      </c>
      <c r="F62" s="77"/>
    </row>
    <row r="63" spans="1:4">
      <c r="A63" s="56" t="s">
        <v>53</v>
      </c>
      <c r="B63" s="61" t="s">
        <v>207</v>
      </c>
      <c r="C63" s="57" t="str">
        <f>C60</f>
        <v>CCT PB000047/2021</v>
      </c>
      <c r="D63" s="58">
        <v>15</v>
      </c>
    </row>
    <row r="64" spans="1:4">
      <c r="A64" s="56" t="s">
        <v>55</v>
      </c>
      <c r="B64" s="79" t="s">
        <v>208</v>
      </c>
      <c r="C64" s="78" t="str">
        <f>C60</f>
        <v>CCT PB000047/2021</v>
      </c>
      <c r="D64" s="58">
        <v>5</v>
      </c>
    </row>
    <row r="65" spans="1:4">
      <c r="A65" s="56" t="s">
        <v>58</v>
      </c>
      <c r="D65" s="64">
        <f>TRUNC((SUM(D59:D64)),2)</f>
        <v>364.87</v>
      </c>
    </row>
    <row r="66" spans="1:4">
      <c r="A66" s="56"/>
      <c r="D66" s="64"/>
    </row>
    <row r="67" spans="1:4">
      <c r="A67" s="55" t="s">
        <v>105</v>
      </c>
      <c r="B67" s="55"/>
      <c r="C67" s="55"/>
      <c r="D67" s="55"/>
    </row>
    <row r="68" spans="1:4">
      <c r="A68" s="56" t="s">
        <v>106</v>
      </c>
      <c r="B68" s="61" t="s">
        <v>107</v>
      </c>
      <c r="C68" s="56" t="s">
        <v>18</v>
      </c>
      <c r="D68" s="56" t="s">
        <v>19</v>
      </c>
    </row>
    <row r="69" spans="1:4">
      <c r="A69" s="56" t="s">
        <v>65</v>
      </c>
      <c r="B69" t="s">
        <v>66</v>
      </c>
      <c r="C69" s="56"/>
      <c r="D69" s="64">
        <f>D39</f>
        <v>500.76</v>
      </c>
    </row>
    <row r="70" spans="1:4">
      <c r="A70" s="56" t="s">
        <v>78</v>
      </c>
      <c r="B70" t="s">
        <v>79</v>
      </c>
      <c r="C70" s="56"/>
      <c r="D70" s="64">
        <f>D55</f>
        <v>1224.26</v>
      </c>
    </row>
    <row r="71" spans="1:4">
      <c r="A71" s="56" t="s">
        <v>96</v>
      </c>
      <c r="B71" t="s">
        <v>97</v>
      </c>
      <c r="C71" s="56"/>
      <c r="D71" s="64">
        <f>D65</f>
        <v>364.87</v>
      </c>
    </row>
    <row r="72" spans="1:4">
      <c r="A72" s="56" t="s">
        <v>58</v>
      </c>
      <c r="C72" s="56"/>
      <c r="D72" s="64">
        <f>TRUNC((SUM(D69:D71)),2)</f>
        <v>2089.89</v>
      </c>
    </row>
    <row r="74" spans="1:4">
      <c r="A74" s="39" t="s">
        <v>108</v>
      </c>
      <c r="B74" s="39"/>
      <c r="C74" s="39"/>
      <c r="D74" s="39"/>
    </row>
    <row r="75" spans="1:4">
      <c r="A75" s="56" t="s">
        <v>109</v>
      </c>
      <c r="B75" s="61" t="s">
        <v>110</v>
      </c>
      <c r="C75" s="56" t="s">
        <v>38</v>
      </c>
      <c r="D75" s="56" t="s">
        <v>19</v>
      </c>
    </row>
    <row r="76" spans="1:4">
      <c r="A76" s="56" t="s">
        <v>42</v>
      </c>
      <c r="B76" t="s">
        <v>111</v>
      </c>
      <c r="C76" s="74">
        <f>((1/12)*5%)</f>
        <v>0.00416666666666667</v>
      </c>
      <c r="D76" s="58">
        <f t="shared" ref="D76:D79" si="1">TRUNC(($D$31*C76),2)</f>
        <v>10.73</v>
      </c>
    </row>
    <row r="77" spans="1:4">
      <c r="A77" s="56" t="s">
        <v>45</v>
      </c>
      <c r="B77" t="s">
        <v>112</v>
      </c>
      <c r="C77" s="80">
        <v>0.08</v>
      </c>
      <c r="D77" s="64">
        <f>TRUNC(($D$76*C77),2)</f>
        <v>0.85</v>
      </c>
    </row>
    <row r="78" ht="30" spans="1:4">
      <c r="A78" s="56" t="s">
        <v>48</v>
      </c>
      <c r="B78" s="81" t="s">
        <v>113</v>
      </c>
      <c r="C78" s="82">
        <f>(0.08*0.4*0.05)</f>
        <v>0.0016</v>
      </c>
      <c r="D78" s="78">
        <f t="shared" si="1"/>
        <v>4.12</v>
      </c>
    </row>
    <row r="79" spans="1:4">
      <c r="A79" s="56" t="s">
        <v>50</v>
      </c>
      <c r="B79" t="s">
        <v>114</v>
      </c>
      <c r="C79" s="83">
        <f>(((7/30)/12)*0.95)</f>
        <v>0.0184722222222222</v>
      </c>
      <c r="D79" s="84">
        <f t="shared" si="1"/>
        <v>47.57</v>
      </c>
    </row>
    <row r="80" ht="30" spans="1:4">
      <c r="A80" s="56" t="s">
        <v>53</v>
      </c>
      <c r="B80" s="81" t="s">
        <v>209</v>
      </c>
      <c r="C80" s="82">
        <f>C55</f>
        <v>0.398</v>
      </c>
      <c r="D80" s="78">
        <f>TRUNC(($D$79*C80),2)</f>
        <v>18.93</v>
      </c>
    </row>
    <row r="81" ht="30" spans="1:4">
      <c r="A81" s="56" t="s">
        <v>55</v>
      </c>
      <c r="B81" s="81" t="s">
        <v>115</v>
      </c>
      <c r="C81" s="83">
        <f>(0.08*0.4*0.95)</f>
        <v>0.0304</v>
      </c>
      <c r="D81" s="85">
        <f>TRUNC(($D$31*C81),2)</f>
        <v>78.29</v>
      </c>
    </row>
    <row r="82" spans="1:4">
      <c r="A82" s="56" t="s">
        <v>58</v>
      </c>
      <c r="C82" s="80">
        <f>SUM(C76:C81)</f>
        <v>0.532638888888889</v>
      </c>
      <c r="D82" s="64">
        <f>TRUNC((SUM(D76:D81)),2)</f>
        <v>160.49</v>
      </c>
    </row>
    <row r="83" ht="15.75" spans="1:4">
      <c r="A83" s="56"/>
      <c r="D83" s="64"/>
    </row>
    <row r="84" ht="16.5" spans="1:4">
      <c r="A84" s="68" t="s">
        <v>210</v>
      </c>
      <c r="B84" s="68"/>
      <c r="C84" s="69" t="s">
        <v>202</v>
      </c>
      <c r="D84" s="70">
        <f>D31</f>
        <v>2575.36</v>
      </c>
    </row>
    <row r="85" ht="16.5" spans="1:4">
      <c r="A85" s="68"/>
      <c r="B85" s="68"/>
      <c r="C85" s="71" t="s">
        <v>211</v>
      </c>
      <c r="D85" s="70">
        <f>D72</f>
        <v>2089.89</v>
      </c>
    </row>
    <row r="86" ht="16.5" spans="1:4">
      <c r="A86" s="68"/>
      <c r="B86" s="68"/>
      <c r="C86" s="69" t="s">
        <v>212</v>
      </c>
      <c r="D86" s="70">
        <f>D82</f>
        <v>160.49</v>
      </c>
    </row>
    <row r="87" ht="16.5" spans="1:4">
      <c r="A87" s="68"/>
      <c r="B87" s="68"/>
      <c r="C87" s="71" t="s">
        <v>204</v>
      </c>
      <c r="D87" s="72">
        <f>TRUNC((SUM(D84:D86)),2)</f>
        <v>4825.74</v>
      </c>
    </row>
    <row r="88" ht="15.75" spans="1:4">
      <c r="A88" s="56"/>
      <c r="D88" s="64"/>
    </row>
    <row r="89" spans="1:4">
      <c r="A89" s="86" t="s">
        <v>127</v>
      </c>
      <c r="B89" s="86"/>
      <c r="C89" s="86"/>
      <c r="D89" s="86"/>
    </row>
    <row r="90" spans="1:4">
      <c r="A90" s="55" t="s">
        <v>128</v>
      </c>
      <c r="B90" s="55"/>
      <c r="C90" s="55"/>
      <c r="D90" s="55"/>
    </row>
    <row r="91" spans="1:4">
      <c r="A91" s="56" t="s">
        <v>129</v>
      </c>
      <c r="B91" s="61" t="s">
        <v>130</v>
      </c>
      <c r="C91" s="56" t="s">
        <v>38</v>
      </c>
      <c r="D91" s="56" t="s">
        <v>19</v>
      </c>
    </row>
    <row r="92" spans="1:4">
      <c r="A92" s="56" t="s">
        <v>42</v>
      </c>
      <c r="B92" t="s">
        <v>213</v>
      </c>
      <c r="C92" s="80">
        <f>(((1+1/3)/12)/12)+((1/12)/12)</f>
        <v>0.0162037037037037</v>
      </c>
      <c r="D92" s="64">
        <f t="shared" ref="D92:D96" si="2">TRUNC(($D$87*C92),2)</f>
        <v>78.19</v>
      </c>
    </row>
    <row r="93" spans="1:4">
      <c r="A93" s="56" t="s">
        <v>45</v>
      </c>
      <c r="B93" t="s">
        <v>133</v>
      </c>
      <c r="C93" s="74">
        <f>((2/30)/12)</f>
        <v>0.00555555555555556</v>
      </c>
      <c r="D93" s="78">
        <f t="shared" si="2"/>
        <v>26.8</v>
      </c>
    </row>
    <row r="94" spans="1:4">
      <c r="A94" s="56" t="s">
        <v>48</v>
      </c>
      <c r="B94" t="s">
        <v>134</v>
      </c>
      <c r="C94" s="74">
        <f>((5/30)/12)*0.02</f>
        <v>0.000277777777777778</v>
      </c>
      <c r="D94" s="78">
        <f t="shared" si="2"/>
        <v>1.34</v>
      </c>
    </row>
    <row r="95" spans="1:4">
      <c r="A95" s="76" t="s">
        <v>50</v>
      </c>
      <c r="B95" s="81" t="s">
        <v>135</v>
      </c>
      <c r="C95" s="82">
        <f>((15/30)/12)*0.08</f>
        <v>0.00333333333333333</v>
      </c>
      <c r="D95" s="78">
        <f t="shared" si="2"/>
        <v>16.08</v>
      </c>
    </row>
    <row r="96" spans="1:4">
      <c r="A96" s="56" t="s">
        <v>53</v>
      </c>
      <c r="B96" t="s">
        <v>136</v>
      </c>
      <c r="C96" s="74">
        <f>((1+1/3)/12)*0.03*((4/12))</f>
        <v>0.00111111111111111</v>
      </c>
      <c r="D96" s="78">
        <f t="shared" si="2"/>
        <v>5.36</v>
      </c>
    </row>
    <row r="97" spans="1:4">
      <c r="A97" s="56" t="s">
        <v>55</v>
      </c>
      <c r="B97" s="81" t="s">
        <v>214</v>
      </c>
      <c r="C97" s="87">
        <v>0</v>
      </c>
      <c r="D97" s="78">
        <f>TRUNC($D$87*C97)</f>
        <v>0</v>
      </c>
    </row>
    <row r="98" spans="1:4">
      <c r="A98" s="56" t="s">
        <v>58</v>
      </c>
      <c r="C98" s="80">
        <f>SUM(C92:C97)</f>
        <v>0.0264814814814815</v>
      </c>
      <c r="D98" s="64">
        <f>TRUNC((SUM(D92:D97)),2)</f>
        <v>127.77</v>
      </c>
    </row>
    <row r="99" spans="1:4">
      <c r="A99" s="56"/>
      <c r="C99" s="56"/>
      <c r="D99" s="64"/>
    </row>
    <row r="100" spans="1:4">
      <c r="A100" s="55" t="s">
        <v>144</v>
      </c>
      <c r="B100" s="55"/>
      <c r="C100" s="55"/>
      <c r="D100" s="55"/>
    </row>
    <row r="101" spans="1:4">
      <c r="A101" s="56" t="s">
        <v>145</v>
      </c>
      <c r="B101" s="61" t="s">
        <v>146</v>
      </c>
      <c r="C101" s="56" t="s">
        <v>18</v>
      </c>
      <c r="D101" s="56" t="s">
        <v>19</v>
      </c>
    </row>
    <row r="102" ht="120" spans="1:4">
      <c r="A102" s="76" t="s">
        <v>42</v>
      </c>
      <c r="B102" s="88" t="s">
        <v>147</v>
      </c>
      <c r="C102" s="89" t="s">
        <v>215</v>
      </c>
      <c r="D102" s="90" t="s">
        <v>216</v>
      </c>
    </row>
    <row r="103" spans="1:4">
      <c r="A103" s="56" t="s">
        <v>58</v>
      </c>
      <c r="C103" s="91"/>
      <c r="D103" s="92" t="str">
        <f>D102</f>
        <v>*=TRUNCAR(($D$86/220)*(1*(365/12))/2)</v>
      </c>
    </row>
    <row r="105" spans="1:4">
      <c r="A105" s="55" t="s">
        <v>148</v>
      </c>
      <c r="B105" s="55"/>
      <c r="C105" s="55"/>
      <c r="D105" s="55"/>
    </row>
    <row r="106" spans="1:4">
      <c r="A106" s="56" t="s">
        <v>149</v>
      </c>
      <c r="B106" s="61" t="s">
        <v>150</v>
      </c>
      <c r="C106" s="56" t="s">
        <v>18</v>
      </c>
      <c r="D106" s="56" t="s">
        <v>19</v>
      </c>
    </row>
    <row r="107" spans="1:4">
      <c r="A107" s="56" t="s">
        <v>129</v>
      </c>
      <c r="B107" t="s">
        <v>130</v>
      </c>
      <c r="D107" s="58">
        <f>D98</f>
        <v>127.77</v>
      </c>
    </row>
    <row r="108" spans="1:4">
      <c r="A108" s="56" t="s">
        <v>145</v>
      </c>
      <c r="B108" t="s">
        <v>151</v>
      </c>
      <c r="C108" s="61"/>
      <c r="D108" s="93"/>
    </row>
    <row r="109" ht="75" spans="1:4">
      <c r="A109" s="76" t="s">
        <v>58</v>
      </c>
      <c r="B109" s="77"/>
      <c r="C109" s="89" t="s">
        <v>217</v>
      </c>
      <c r="D109" s="94">
        <f>TRUNC((SUM(D107:D108)),2)</f>
        <v>127.77</v>
      </c>
    </row>
    <row r="111" spans="1:4">
      <c r="A111" s="39" t="s">
        <v>152</v>
      </c>
      <c r="B111" s="39"/>
      <c r="C111" s="39"/>
      <c r="D111" s="39"/>
    </row>
    <row r="112" spans="1:4">
      <c r="A112" s="76" t="s">
        <v>153</v>
      </c>
      <c r="B112" s="77" t="s">
        <v>154</v>
      </c>
      <c r="C112" s="76" t="s">
        <v>18</v>
      </c>
      <c r="D112" s="76" t="s">
        <v>19</v>
      </c>
    </row>
    <row r="113" spans="1:4">
      <c r="A113" s="56" t="s">
        <v>42</v>
      </c>
      <c r="B113" t="s">
        <v>218</v>
      </c>
      <c r="D113" s="95">
        <f>Uniformes!G12</f>
        <v>87.37</v>
      </c>
    </row>
    <row r="114" spans="1:4">
      <c r="A114" s="56" t="s">
        <v>45</v>
      </c>
      <c r="B114" t="s">
        <v>219</v>
      </c>
      <c r="D114" s="58">
        <v>0</v>
      </c>
    </row>
    <row r="115" spans="1:4">
      <c r="A115" s="56" t="s">
        <v>48</v>
      </c>
      <c r="B115" t="s">
        <v>156</v>
      </c>
      <c r="D115" s="58">
        <v>0</v>
      </c>
    </row>
    <row r="116" spans="1:4">
      <c r="A116" s="56" t="s">
        <v>50</v>
      </c>
      <c r="B116" t="s">
        <v>157</v>
      </c>
      <c r="D116" s="58">
        <v>0</v>
      </c>
    </row>
    <row r="117" spans="1:4">
      <c r="A117" s="56" t="s">
        <v>53</v>
      </c>
      <c r="B117" t="s">
        <v>220</v>
      </c>
      <c r="C117" s="56"/>
      <c r="D117" s="58">
        <v>0</v>
      </c>
    </row>
    <row r="118" spans="1:4">
      <c r="A118" s="56" t="s">
        <v>58</v>
      </c>
      <c r="D118" s="64">
        <f>TRUNC(SUM(D113:D117),2)</f>
        <v>87.37</v>
      </c>
    </row>
    <row r="120" ht="16.5" spans="1:4">
      <c r="A120" s="68" t="s">
        <v>221</v>
      </c>
      <c r="B120" s="68"/>
      <c r="C120" s="69" t="s">
        <v>202</v>
      </c>
      <c r="D120" s="70">
        <f>D31</f>
        <v>2575.36</v>
      </c>
    </row>
    <row r="121" ht="16.5" spans="1:4">
      <c r="A121" s="68"/>
      <c r="B121" s="68"/>
      <c r="C121" s="71" t="s">
        <v>211</v>
      </c>
      <c r="D121" s="70">
        <f>D72</f>
        <v>2089.89</v>
      </c>
    </row>
    <row r="122" ht="16.5" spans="1:4">
      <c r="A122" s="68"/>
      <c r="B122" s="68"/>
      <c r="C122" s="69" t="s">
        <v>212</v>
      </c>
      <c r="D122" s="70">
        <f>D82</f>
        <v>160.49</v>
      </c>
    </row>
    <row r="123" ht="16.5" spans="1:4">
      <c r="A123" s="68"/>
      <c r="B123" s="68"/>
      <c r="C123" s="71" t="s">
        <v>222</v>
      </c>
      <c r="D123" s="70">
        <f>D109</f>
        <v>127.77</v>
      </c>
    </row>
    <row r="124" ht="16.5" spans="1:4">
      <c r="A124" s="68"/>
      <c r="B124" s="68"/>
      <c r="C124" s="69" t="s">
        <v>223</v>
      </c>
      <c r="D124" s="70">
        <f>D118</f>
        <v>87.37</v>
      </c>
    </row>
    <row r="125" ht="16.5" spans="1:4">
      <c r="A125" s="68"/>
      <c r="B125" s="68"/>
      <c r="C125" s="71" t="s">
        <v>204</v>
      </c>
      <c r="D125" s="72">
        <f>TRUNC((SUM(D120:D124)),2)</f>
        <v>5040.88</v>
      </c>
    </row>
    <row r="126" ht="15.75"/>
    <row r="127" spans="1:4">
      <c r="A127" s="39" t="s">
        <v>164</v>
      </c>
      <c r="B127" s="39"/>
      <c r="C127" s="39"/>
      <c r="D127" s="39"/>
    </row>
    <row r="128" spans="1:7">
      <c r="A128" s="56" t="s">
        <v>165</v>
      </c>
      <c r="B128" t="s">
        <v>166</v>
      </c>
      <c r="C128" s="56" t="s">
        <v>38</v>
      </c>
      <c r="D128" s="56" t="s">
        <v>19</v>
      </c>
      <c r="F128" s="96" t="s">
        <v>224</v>
      </c>
      <c r="G128" s="96"/>
    </row>
    <row r="129" ht="15.75" spans="1:7">
      <c r="A129" s="56" t="s">
        <v>42</v>
      </c>
      <c r="B129" t="s">
        <v>167</v>
      </c>
      <c r="C129" s="97">
        <v>0.0404</v>
      </c>
      <c r="D129" s="95">
        <f>TRUNC(($D$125*C129),2)</f>
        <v>203.65</v>
      </c>
      <c r="F129" s="98" t="s">
        <v>225</v>
      </c>
      <c r="G129" s="82">
        <f>C131</f>
        <v>0.0865</v>
      </c>
    </row>
    <row r="130" ht="15.75" spans="1:7">
      <c r="A130" s="56" t="s">
        <v>45</v>
      </c>
      <c r="B130" t="s">
        <v>59</v>
      </c>
      <c r="C130" s="97">
        <v>0.035</v>
      </c>
      <c r="D130" s="95">
        <f>TRUNC((C130*(D125+D129)),2)</f>
        <v>183.55</v>
      </c>
      <c r="F130" s="99" t="s">
        <v>226</v>
      </c>
      <c r="G130" s="100">
        <f>TRUNC(SUM(D125,D129,D130),2)</f>
        <v>5428.08</v>
      </c>
    </row>
    <row r="131" spans="1:7">
      <c r="A131" s="56" t="s">
        <v>48</v>
      </c>
      <c r="B131" t="s">
        <v>168</v>
      </c>
      <c r="C131" s="74">
        <f>SUM(C132:C134)</f>
        <v>0.0865</v>
      </c>
      <c r="D131" s="58">
        <f>SUM(D132:D134)</f>
        <v>513.98</v>
      </c>
      <c r="F131" s="98" t="s">
        <v>227</v>
      </c>
      <c r="G131" s="101">
        <f>(100-8.65)/100</f>
        <v>0.9135</v>
      </c>
    </row>
    <row r="132" ht="15.75" spans="1:7">
      <c r="A132" s="56"/>
      <c r="B132" t="s">
        <v>228</v>
      </c>
      <c r="C132" s="74">
        <v>0.0065</v>
      </c>
      <c r="D132" s="58">
        <f t="shared" ref="D132:D134" si="3">TRUNC(($G$132*C132),2)</f>
        <v>38.62</v>
      </c>
      <c r="F132" s="99" t="s">
        <v>224</v>
      </c>
      <c r="G132" s="100">
        <f>TRUNC((G130/G131),2)</f>
        <v>5942.06</v>
      </c>
    </row>
    <row r="133" ht="15.75" spans="1:4">
      <c r="A133" s="56"/>
      <c r="B133" t="s">
        <v>229</v>
      </c>
      <c r="C133" s="74">
        <v>0.03</v>
      </c>
      <c r="D133" s="58">
        <f t="shared" si="3"/>
        <v>178.26</v>
      </c>
    </row>
    <row r="134" spans="1:4">
      <c r="A134" s="56"/>
      <c r="B134" t="s">
        <v>230</v>
      </c>
      <c r="C134" s="74">
        <v>0.05</v>
      </c>
      <c r="D134" s="58">
        <f t="shared" si="3"/>
        <v>297.1</v>
      </c>
    </row>
    <row r="135" spans="1:4">
      <c r="A135" s="56" t="s">
        <v>58</v>
      </c>
      <c r="B135" s="102"/>
      <c r="C135" s="103"/>
      <c r="D135" s="64">
        <f>SUM(D129:D131)</f>
        <v>901.18</v>
      </c>
    </row>
    <row r="136" spans="1:4">
      <c r="A136" s="56"/>
      <c r="C136" s="103"/>
      <c r="D136" s="64"/>
    </row>
    <row r="138" spans="1:4">
      <c r="A138" s="39" t="s">
        <v>172</v>
      </c>
      <c r="B138" s="39"/>
      <c r="C138" s="39"/>
      <c r="D138" s="39"/>
    </row>
    <row r="139" spans="1:4">
      <c r="A139" s="56" t="s">
        <v>16</v>
      </c>
      <c r="B139" s="56" t="s">
        <v>173</v>
      </c>
      <c r="C139" s="56" t="s">
        <v>102</v>
      </c>
      <c r="D139" s="56" t="s">
        <v>19</v>
      </c>
    </row>
    <row r="140" spans="1:4">
      <c r="A140" s="56" t="s">
        <v>42</v>
      </c>
      <c r="B140" t="s">
        <v>36</v>
      </c>
      <c r="D140" s="64">
        <f>D31</f>
        <v>2575.36</v>
      </c>
    </row>
    <row r="141" spans="1:4">
      <c r="A141" s="56" t="s">
        <v>45</v>
      </c>
      <c r="B141" t="s">
        <v>61</v>
      </c>
      <c r="D141" s="64">
        <f>D72</f>
        <v>2089.89</v>
      </c>
    </row>
    <row r="142" spans="1:4">
      <c r="A142" s="56" t="s">
        <v>48</v>
      </c>
      <c r="B142" t="s">
        <v>108</v>
      </c>
      <c r="D142" s="64">
        <f>D82</f>
        <v>160.49</v>
      </c>
    </row>
    <row r="143" spans="1:4">
      <c r="A143" s="56" t="s">
        <v>50</v>
      </c>
      <c r="B143" t="s">
        <v>174</v>
      </c>
      <c r="D143" s="64">
        <f>D109</f>
        <v>127.77</v>
      </c>
    </row>
    <row r="144" spans="1:4">
      <c r="A144" s="56" t="s">
        <v>53</v>
      </c>
      <c r="B144" t="s">
        <v>152</v>
      </c>
      <c r="D144" s="64">
        <f>D118</f>
        <v>87.37</v>
      </c>
    </row>
    <row r="145" spans="2:4">
      <c r="B145" s="104" t="s">
        <v>175</v>
      </c>
      <c r="D145" s="64">
        <f>SUM(D140:D144)</f>
        <v>5040.88</v>
      </c>
    </row>
    <row r="146" spans="1:4">
      <c r="A146" s="56" t="s">
        <v>55</v>
      </c>
      <c r="B146" t="s">
        <v>164</v>
      </c>
      <c r="D146" s="64">
        <f>D135</f>
        <v>901.18</v>
      </c>
    </row>
    <row r="147" spans="1:4">
      <c r="A147" s="105"/>
      <c r="B147" s="106" t="s">
        <v>231</v>
      </c>
      <c r="C147" s="105"/>
      <c r="D147" s="107">
        <f>TRUNC((SUM(D140:D144)+D146),2)</f>
        <v>5942.06</v>
      </c>
    </row>
  </sheetData>
  <mergeCells count="33">
    <mergeCell ref="A2:D2"/>
    <mergeCell ref="A3:D3"/>
    <mergeCell ref="A6:D6"/>
    <mergeCell ref="C7:D7"/>
    <mergeCell ref="C8:D8"/>
    <mergeCell ref="C9:D9"/>
    <mergeCell ref="C10:D10"/>
    <mergeCell ref="A11:D11"/>
    <mergeCell ref="A12:B12"/>
    <mergeCell ref="A13:B13"/>
    <mergeCell ref="A14:B14"/>
    <mergeCell ref="A15:D15"/>
    <mergeCell ref="F15:G15"/>
    <mergeCell ref="F22:G22"/>
    <mergeCell ref="A23:D23"/>
    <mergeCell ref="F31:G31"/>
    <mergeCell ref="A33:D33"/>
    <mergeCell ref="A35:D35"/>
    <mergeCell ref="A45:D45"/>
    <mergeCell ref="A57:D57"/>
    <mergeCell ref="A67:D67"/>
    <mergeCell ref="A74:D74"/>
    <mergeCell ref="A89:D89"/>
    <mergeCell ref="A90:D90"/>
    <mergeCell ref="A100:D100"/>
    <mergeCell ref="A105:D105"/>
    <mergeCell ref="A111:D111"/>
    <mergeCell ref="A127:D127"/>
    <mergeCell ref="F128:G128"/>
    <mergeCell ref="A138:D138"/>
    <mergeCell ref="A41:B43"/>
    <mergeCell ref="A84:B87"/>
    <mergeCell ref="A120:B125"/>
  </mergeCells>
  <pageMargins left="0.75" right="0.75" top="1" bottom="1" header="0.5" footer="0.5"/>
  <pageSetup paperSize="9" orientation="landscape"/>
  <headerFooter/>
  <tableParts count="13">
    <tablePart r:id="rId1"/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</tableParts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G147"/>
  <sheetViews>
    <sheetView topLeftCell="A30" workbookViewId="0">
      <selection activeCell="G27" sqref="G27"/>
    </sheetView>
  </sheetViews>
  <sheetFormatPr defaultColWidth="9.14285714285714" defaultRowHeight="15" outlineLevelCol="6"/>
  <cols>
    <col min="1" max="1" width="10.5714285714286" customWidth="1"/>
    <col min="2" max="2" width="63" customWidth="1"/>
    <col min="3" max="3" width="22.8571428571429" customWidth="1"/>
    <col min="4" max="4" width="25.5714285714286" customWidth="1"/>
    <col min="6" max="6" width="22.8571428571429" customWidth="1"/>
    <col min="7" max="7" width="11.4285714285714" customWidth="1"/>
  </cols>
  <sheetData>
    <row r="2" ht="19.5" spans="1:4">
      <c r="A2" s="32" t="s">
        <v>177</v>
      </c>
      <c r="B2" s="32"/>
      <c r="C2" s="32"/>
      <c r="D2" s="32"/>
    </row>
    <row r="3" ht="15.75" spans="1:4">
      <c r="A3" s="33" t="s">
        <v>178</v>
      </c>
      <c r="B3" s="33"/>
      <c r="C3" s="33"/>
      <c r="D3" s="33"/>
    </row>
    <row r="4" spans="1:4">
      <c r="A4" s="34" t="s">
        <v>179</v>
      </c>
      <c r="B4" s="35" t="s">
        <v>180</v>
      </c>
      <c r="C4" s="36"/>
      <c r="D4" s="36"/>
    </row>
    <row r="5" spans="1:4">
      <c r="A5" s="37"/>
      <c r="B5" s="38"/>
      <c r="C5" s="38"/>
      <c r="D5" s="38"/>
    </row>
    <row r="6" ht="15.75" spans="1:4">
      <c r="A6" s="39" t="s">
        <v>181</v>
      </c>
      <c r="B6" s="39"/>
      <c r="C6" s="39"/>
      <c r="D6" s="39"/>
    </row>
    <row r="7" ht="15.75" spans="1:4">
      <c r="A7" s="40" t="s">
        <v>42</v>
      </c>
      <c r="B7" s="41" t="s">
        <v>182</v>
      </c>
      <c r="C7" s="42" t="s">
        <v>183</v>
      </c>
      <c r="D7" s="42"/>
    </row>
    <row r="8" spans="1:4">
      <c r="A8" s="43" t="s">
        <v>45</v>
      </c>
      <c r="B8" s="44" t="s">
        <v>184</v>
      </c>
      <c r="C8" s="45" t="s">
        <v>185</v>
      </c>
      <c r="D8" s="45"/>
    </row>
    <row r="9" spans="1:4">
      <c r="A9" s="46" t="s">
        <v>48</v>
      </c>
      <c r="B9" s="47" t="s">
        <v>186</v>
      </c>
      <c r="C9" s="45" t="s">
        <v>187</v>
      </c>
      <c r="D9" s="45"/>
    </row>
    <row r="10" spans="1:4">
      <c r="A10" s="43" t="s">
        <v>53</v>
      </c>
      <c r="B10" s="44" t="s">
        <v>188</v>
      </c>
      <c r="C10" s="45" t="s">
        <v>189</v>
      </c>
      <c r="D10" s="45"/>
    </row>
    <row r="11" ht="15.75" spans="1:4">
      <c r="A11" s="48" t="s">
        <v>190</v>
      </c>
      <c r="B11" s="48"/>
      <c r="C11" s="48"/>
      <c r="D11" s="48"/>
    </row>
    <row r="12" ht="16.5" spans="1:4">
      <c r="A12" s="49" t="s">
        <v>191</v>
      </c>
      <c r="B12" s="49"/>
      <c r="C12" s="48" t="s">
        <v>192</v>
      </c>
      <c r="D12" s="50" t="s">
        <v>193</v>
      </c>
    </row>
    <row r="13" ht="15.75" spans="1:4">
      <c r="A13" s="51" t="s">
        <v>241</v>
      </c>
      <c r="B13" s="51"/>
      <c r="C13" s="45" t="s">
        <v>195</v>
      </c>
      <c r="D13" s="52">
        <f>RESUMO!D8</f>
        <v>3</v>
      </c>
    </row>
    <row r="14" spans="1:4">
      <c r="A14" s="53"/>
      <c r="B14" s="53"/>
      <c r="C14" s="45"/>
      <c r="D14" s="54"/>
    </row>
    <row r="15" ht="15.75" spans="1:7">
      <c r="A15" s="48" t="s">
        <v>14</v>
      </c>
      <c r="B15" s="48"/>
      <c r="C15" s="48"/>
      <c r="D15" s="48"/>
      <c r="F15" s="55"/>
      <c r="G15" s="55"/>
    </row>
    <row r="16" ht="15.75" spans="1:4">
      <c r="A16" s="56" t="s">
        <v>16</v>
      </c>
      <c r="B16" t="s">
        <v>17</v>
      </c>
      <c r="C16" s="56" t="s">
        <v>18</v>
      </c>
      <c r="D16" s="56" t="s">
        <v>19</v>
      </c>
    </row>
    <row r="17" spans="1:4">
      <c r="A17" s="56">
        <v>1</v>
      </c>
      <c r="B17" t="s">
        <v>20</v>
      </c>
      <c r="C17" s="57" t="s">
        <v>102</v>
      </c>
      <c r="D17" s="57" t="str">
        <f>A13</f>
        <v>Psicopedagogo Educacional</v>
      </c>
    </row>
    <row r="18" spans="1:4">
      <c r="A18" s="56">
        <v>2</v>
      </c>
      <c r="B18" t="s">
        <v>23</v>
      </c>
      <c r="C18" s="57" t="s">
        <v>196</v>
      </c>
      <c r="D18" s="57" t="s">
        <v>242</v>
      </c>
    </row>
    <row r="19" spans="1:4">
      <c r="A19" s="56">
        <v>3</v>
      </c>
      <c r="B19" t="s">
        <v>26</v>
      </c>
      <c r="C19" s="57" t="str">
        <f>C9</f>
        <v>CCT PB000047/2021</v>
      </c>
      <c r="D19" s="58">
        <v>2575.36</v>
      </c>
    </row>
    <row r="20" spans="1:4">
      <c r="A20" s="56">
        <v>4</v>
      </c>
      <c r="B20" t="s">
        <v>29</v>
      </c>
      <c r="C20" s="57" t="str">
        <f>C9</f>
        <v>CCT PB000047/2021</v>
      </c>
      <c r="D20" s="59" t="s">
        <v>198</v>
      </c>
    </row>
    <row r="21" spans="1:4">
      <c r="A21" s="56">
        <v>5</v>
      </c>
      <c r="B21" t="s">
        <v>33</v>
      </c>
      <c r="C21" s="57" t="str">
        <f>C9</f>
        <v>CCT PB000047/2021</v>
      </c>
      <c r="D21" s="60" t="s">
        <v>199</v>
      </c>
    </row>
    <row r="22" spans="6:7">
      <c r="F22" s="55"/>
      <c r="G22" s="55"/>
    </row>
    <row r="23" spans="1:4">
      <c r="A23" s="39" t="s">
        <v>36</v>
      </c>
      <c r="B23" s="39"/>
      <c r="C23" s="39"/>
      <c r="D23" s="39"/>
    </row>
    <row r="24" spans="1:7">
      <c r="A24" s="56" t="s">
        <v>39</v>
      </c>
      <c r="B24" s="61" t="s">
        <v>40</v>
      </c>
      <c r="C24" s="56" t="s">
        <v>18</v>
      </c>
      <c r="D24" s="56" t="s">
        <v>19</v>
      </c>
      <c r="G24" s="62"/>
    </row>
    <row r="25" spans="1:7">
      <c r="A25" s="56" t="s">
        <v>42</v>
      </c>
      <c r="B25" t="s">
        <v>43</v>
      </c>
      <c r="C25" s="63" t="s">
        <v>200</v>
      </c>
      <c r="D25" s="58">
        <f>D19</f>
        <v>2575.36</v>
      </c>
      <c r="G25" s="62"/>
    </row>
    <row r="26" spans="1:7">
      <c r="A26" s="56" t="s">
        <v>45</v>
      </c>
      <c r="B26" t="s">
        <v>46</v>
      </c>
      <c r="C26" s="59"/>
      <c r="D26" s="58">
        <v>0</v>
      </c>
      <c r="G26" s="62"/>
    </row>
    <row r="27" spans="1:4">
      <c r="A27" s="56" t="s">
        <v>48</v>
      </c>
      <c r="B27" t="s">
        <v>49</v>
      </c>
      <c r="C27" s="59"/>
      <c r="D27" s="58">
        <v>0</v>
      </c>
    </row>
    <row r="28" spans="1:4">
      <c r="A28" s="56" t="s">
        <v>50</v>
      </c>
      <c r="B28" t="s">
        <v>51</v>
      </c>
      <c r="C28" s="59"/>
      <c r="D28" s="58">
        <v>0</v>
      </c>
    </row>
    <row r="29" spans="1:4">
      <c r="A29" s="56" t="s">
        <v>53</v>
      </c>
      <c r="B29" t="s">
        <v>54</v>
      </c>
      <c r="C29" s="59"/>
      <c r="D29" s="58">
        <v>0</v>
      </c>
    </row>
    <row r="30" spans="1:4">
      <c r="A30" s="56" t="s">
        <v>55</v>
      </c>
      <c r="B30" t="s">
        <v>56</v>
      </c>
      <c r="C30" s="59"/>
      <c r="D30" s="58">
        <v>0</v>
      </c>
    </row>
    <row r="31" spans="1:7">
      <c r="A31" s="56" t="s">
        <v>58</v>
      </c>
      <c r="C31" s="56"/>
      <c r="D31" s="64">
        <f>TRUNC((SUM(D25:D30)),2)</f>
        <v>2575.36</v>
      </c>
      <c r="F31" s="55"/>
      <c r="G31" s="55"/>
    </row>
    <row r="33" spans="1:7">
      <c r="A33" s="65" t="s">
        <v>61</v>
      </c>
      <c r="B33" s="65"/>
      <c r="C33" s="65"/>
      <c r="D33" s="65"/>
      <c r="G33" s="62"/>
    </row>
    <row r="35" spans="1:4">
      <c r="A35" s="55" t="s">
        <v>63</v>
      </c>
      <c r="B35" s="55"/>
      <c r="C35" s="55"/>
      <c r="D35" s="55"/>
    </row>
    <row r="36" spans="1:4">
      <c r="A36" s="56" t="s">
        <v>65</v>
      </c>
      <c r="B36" s="61" t="s">
        <v>66</v>
      </c>
      <c r="C36" s="56" t="s">
        <v>38</v>
      </c>
      <c r="D36" s="56" t="s">
        <v>19</v>
      </c>
    </row>
    <row r="37" spans="1:7">
      <c r="A37" s="56" t="s">
        <v>42</v>
      </c>
      <c r="B37" t="s">
        <v>67</v>
      </c>
      <c r="C37" s="66">
        <f>(1/12)</f>
        <v>0.0833333333333333</v>
      </c>
      <c r="D37" s="64">
        <f>TRUNC($D$31*C37,2)</f>
        <v>214.61</v>
      </c>
      <c r="F37" s="67"/>
      <c r="G37" s="67"/>
    </row>
    <row r="38" spans="1:7">
      <c r="A38" s="56" t="s">
        <v>45</v>
      </c>
      <c r="B38" t="s">
        <v>68</v>
      </c>
      <c r="C38" s="66">
        <f>(((1+1/3)/12))</f>
        <v>0.111111111111111</v>
      </c>
      <c r="D38" s="64">
        <f>TRUNC($D$31*C38,2)</f>
        <v>286.15</v>
      </c>
      <c r="F38" s="67"/>
      <c r="G38" s="67"/>
    </row>
    <row r="39" spans="1:7">
      <c r="A39" s="56" t="s">
        <v>58</v>
      </c>
      <c r="D39" s="64">
        <f>TRUNC((SUM(D37:D38)),2)</f>
        <v>500.76</v>
      </c>
      <c r="F39" s="67"/>
      <c r="G39" s="67"/>
    </row>
    <row r="40" ht="15.75" spans="4:7">
      <c r="D40" s="64"/>
      <c r="F40" s="67"/>
      <c r="G40" s="67"/>
    </row>
    <row r="41" ht="16.5" spans="1:7">
      <c r="A41" s="68" t="s">
        <v>201</v>
      </c>
      <c r="B41" s="68"/>
      <c r="C41" s="69" t="s">
        <v>202</v>
      </c>
      <c r="D41" s="70">
        <f>D31</f>
        <v>2575.36</v>
      </c>
      <c r="F41" s="67"/>
      <c r="G41" s="67"/>
    </row>
    <row r="42" ht="16.5" spans="1:7">
      <c r="A42" s="68"/>
      <c r="B42" s="68"/>
      <c r="C42" s="71" t="s">
        <v>203</v>
      </c>
      <c r="D42" s="70">
        <f>D39</f>
        <v>500.76</v>
      </c>
      <c r="F42" s="67"/>
      <c r="G42" s="67"/>
    </row>
    <row r="43" ht="16.5" spans="1:7">
      <c r="A43" s="68"/>
      <c r="B43" s="68"/>
      <c r="C43" s="69" t="s">
        <v>204</v>
      </c>
      <c r="D43" s="72">
        <f>TRUNC((SUM(D41:D42)),2)</f>
        <v>3076.12</v>
      </c>
      <c r="F43" s="67"/>
      <c r="G43" s="67"/>
    </row>
    <row r="44" ht="15.75" spans="1:7">
      <c r="A44" s="56"/>
      <c r="C44" s="73"/>
      <c r="D44" s="64"/>
      <c r="F44" s="67"/>
      <c r="G44" s="67"/>
    </row>
    <row r="45" spans="1:4">
      <c r="A45" s="55" t="s">
        <v>77</v>
      </c>
      <c r="B45" s="55"/>
      <c r="C45" s="55"/>
      <c r="D45" s="55"/>
    </row>
    <row r="46" spans="1:4">
      <c r="A46" s="56" t="s">
        <v>78</v>
      </c>
      <c r="B46" s="61" t="s">
        <v>79</v>
      </c>
      <c r="C46" s="56" t="s">
        <v>38</v>
      </c>
      <c r="D46" s="56" t="s">
        <v>80</v>
      </c>
    </row>
    <row r="47" spans="1:4">
      <c r="A47" s="56" t="s">
        <v>42</v>
      </c>
      <c r="B47" t="s">
        <v>81</v>
      </c>
      <c r="C47" s="66">
        <v>0.2</v>
      </c>
      <c r="D47" s="64">
        <f t="shared" ref="D47:D54" si="0">TRUNC(($D$43*C47),2)</f>
        <v>615.22</v>
      </c>
    </row>
    <row r="48" spans="1:4">
      <c r="A48" s="56" t="s">
        <v>45</v>
      </c>
      <c r="B48" t="s">
        <v>82</v>
      </c>
      <c r="C48" s="66">
        <v>0.025</v>
      </c>
      <c r="D48" s="64">
        <f t="shared" si="0"/>
        <v>76.9</v>
      </c>
    </row>
    <row r="49" spans="1:4">
      <c r="A49" s="56" t="s">
        <v>48</v>
      </c>
      <c r="B49" t="s">
        <v>205</v>
      </c>
      <c r="C49" s="74">
        <v>0.06</v>
      </c>
      <c r="D49" s="58">
        <f t="shared" si="0"/>
        <v>184.56</v>
      </c>
    </row>
    <row r="50" spans="1:4">
      <c r="A50" s="56" t="s">
        <v>50</v>
      </c>
      <c r="B50" t="s">
        <v>84</v>
      </c>
      <c r="C50" s="66">
        <v>0.015</v>
      </c>
      <c r="D50" s="64">
        <f t="shared" si="0"/>
        <v>46.14</v>
      </c>
    </row>
    <row r="51" spans="1:4">
      <c r="A51" s="56" t="s">
        <v>53</v>
      </c>
      <c r="B51" t="s">
        <v>85</v>
      </c>
      <c r="C51" s="66">
        <v>0.01</v>
      </c>
      <c r="D51" s="64">
        <f t="shared" si="0"/>
        <v>30.76</v>
      </c>
    </row>
    <row r="52" spans="1:4">
      <c r="A52" s="56" t="s">
        <v>55</v>
      </c>
      <c r="B52" t="s">
        <v>86</v>
      </c>
      <c r="C52" s="66">
        <v>0.006</v>
      </c>
      <c r="D52" s="64">
        <f t="shared" si="0"/>
        <v>18.45</v>
      </c>
    </row>
    <row r="53" spans="1:4">
      <c r="A53" s="56" t="s">
        <v>87</v>
      </c>
      <c r="B53" t="s">
        <v>88</v>
      </c>
      <c r="C53" s="66">
        <v>0.002</v>
      </c>
      <c r="D53" s="64">
        <f t="shared" si="0"/>
        <v>6.15</v>
      </c>
    </row>
    <row r="54" spans="1:4">
      <c r="A54" s="56" t="s">
        <v>89</v>
      </c>
      <c r="B54" t="s">
        <v>90</v>
      </c>
      <c r="C54" s="66">
        <v>0.08</v>
      </c>
      <c r="D54" s="64">
        <f t="shared" si="0"/>
        <v>246.08</v>
      </c>
    </row>
    <row r="55" spans="1:4">
      <c r="A55" s="56" t="s">
        <v>58</v>
      </c>
      <c r="C55" s="73">
        <f>SUM(C47:C54)</f>
        <v>0.398</v>
      </c>
      <c r="D55" s="64">
        <f>TRUNC(SUM(D47:D54),2)</f>
        <v>1224.26</v>
      </c>
    </row>
    <row r="56" spans="1:4">
      <c r="A56" s="56"/>
      <c r="C56" s="73"/>
      <c r="D56" s="64"/>
    </row>
    <row r="57" spans="1:4">
      <c r="A57" s="55" t="s">
        <v>95</v>
      </c>
      <c r="B57" s="55"/>
      <c r="C57" s="55"/>
      <c r="D57" s="55"/>
    </row>
    <row r="58" spans="1:4">
      <c r="A58" s="56" t="s">
        <v>96</v>
      </c>
      <c r="B58" s="61" t="s">
        <v>97</v>
      </c>
      <c r="C58" s="56" t="s">
        <v>18</v>
      </c>
      <c r="D58" s="56" t="s">
        <v>19</v>
      </c>
    </row>
    <row r="59" spans="1:4">
      <c r="A59" s="56" t="s">
        <v>42</v>
      </c>
      <c r="B59" t="s">
        <v>98</v>
      </c>
      <c r="C59" s="57"/>
      <c r="D59" s="75">
        <f>TRUNC(((22*4.15)*2)-((D25/100)*6),2)</f>
        <v>28.07</v>
      </c>
    </row>
    <row r="60" spans="1:4">
      <c r="A60" s="56" t="s">
        <v>45</v>
      </c>
      <c r="B60" t="s">
        <v>99</v>
      </c>
      <c r="C60" s="57" t="str">
        <f>C9</f>
        <v>CCT PB000047/2021</v>
      </c>
      <c r="D60" s="58">
        <f>TRUNC((((22*18))-(((22*18))*0.2)),2)</f>
        <v>316.8</v>
      </c>
    </row>
    <row r="61" spans="1:4">
      <c r="A61" s="56" t="s">
        <v>48</v>
      </c>
      <c r="B61" t="s">
        <v>100</v>
      </c>
      <c r="C61" s="57"/>
      <c r="D61" s="58">
        <v>0</v>
      </c>
    </row>
    <row r="62" spans="1:6">
      <c r="A62" s="76" t="s">
        <v>50</v>
      </c>
      <c r="B62" s="77" t="s">
        <v>206</v>
      </c>
      <c r="C62" s="78"/>
      <c r="D62" s="78">
        <v>0</v>
      </c>
      <c r="F62" s="77"/>
    </row>
    <row r="63" spans="1:4">
      <c r="A63" s="56" t="s">
        <v>53</v>
      </c>
      <c r="B63" s="61" t="s">
        <v>207</v>
      </c>
      <c r="C63" s="57" t="str">
        <f>C60</f>
        <v>CCT PB000047/2021</v>
      </c>
      <c r="D63" s="58">
        <v>15</v>
      </c>
    </row>
    <row r="64" spans="1:4">
      <c r="A64" s="56" t="s">
        <v>55</v>
      </c>
      <c r="B64" s="79" t="s">
        <v>208</v>
      </c>
      <c r="C64" s="78" t="str">
        <f>C60</f>
        <v>CCT PB000047/2021</v>
      </c>
      <c r="D64" s="58">
        <v>5</v>
      </c>
    </row>
    <row r="65" spans="1:4">
      <c r="A65" s="56" t="s">
        <v>58</v>
      </c>
      <c r="D65" s="64">
        <f>TRUNC((SUM(D59:D64)),2)</f>
        <v>364.87</v>
      </c>
    </row>
    <row r="66" spans="1:4">
      <c r="A66" s="56"/>
      <c r="D66" s="64"/>
    </row>
    <row r="67" spans="1:4">
      <c r="A67" s="55" t="s">
        <v>105</v>
      </c>
      <c r="B67" s="55"/>
      <c r="C67" s="55"/>
      <c r="D67" s="55"/>
    </row>
    <row r="68" spans="1:4">
      <c r="A68" s="56" t="s">
        <v>106</v>
      </c>
      <c r="B68" s="61" t="s">
        <v>107</v>
      </c>
      <c r="C68" s="56" t="s">
        <v>18</v>
      </c>
      <c r="D68" s="56" t="s">
        <v>19</v>
      </c>
    </row>
    <row r="69" spans="1:4">
      <c r="A69" s="56" t="s">
        <v>65</v>
      </c>
      <c r="B69" t="s">
        <v>66</v>
      </c>
      <c r="C69" s="56"/>
      <c r="D69" s="64">
        <f>D39</f>
        <v>500.76</v>
      </c>
    </row>
    <row r="70" spans="1:4">
      <c r="A70" s="56" t="s">
        <v>78</v>
      </c>
      <c r="B70" t="s">
        <v>79</v>
      </c>
      <c r="C70" s="56"/>
      <c r="D70" s="64">
        <f>D55</f>
        <v>1224.26</v>
      </c>
    </row>
    <row r="71" spans="1:4">
      <c r="A71" s="56" t="s">
        <v>96</v>
      </c>
      <c r="B71" t="s">
        <v>97</v>
      </c>
      <c r="C71" s="56"/>
      <c r="D71" s="64">
        <f>D65</f>
        <v>364.87</v>
      </c>
    </row>
    <row r="72" spans="1:4">
      <c r="A72" s="56" t="s">
        <v>58</v>
      </c>
      <c r="C72" s="56"/>
      <c r="D72" s="64">
        <f>TRUNC((SUM(D69:D71)),2)</f>
        <v>2089.89</v>
      </c>
    </row>
    <row r="74" spans="1:4">
      <c r="A74" s="39" t="s">
        <v>108</v>
      </c>
      <c r="B74" s="39"/>
      <c r="C74" s="39"/>
      <c r="D74" s="39"/>
    </row>
    <row r="75" spans="1:4">
      <c r="A75" s="56" t="s">
        <v>109</v>
      </c>
      <c r="B75" s="61" t="s">
        <v>110</v>
      </c>
      <c r="C75" s="56" t="s">
        <v>38</v>
      </c>
      <c r="D75" s="56" t="s">
        <v>19</v>
      </c>
    </row>
    <row r="76" spans="1:4">
      <c r="A76" s="56" t="s">
        <v>42</v>
      </c>
      <c r="B76" t="s">
        <v>111</v>
      </c>
      <c r="C76" s="74">
        <f>((1/12)*5%)</f>
        <v>0.00416666666666667</v>
      </c>
      <c r="D76" s="58">
        <f t="shared" ref="D76:D79" si="1">TRUNC(($D$31*C76),2)</f>
        <v>10.73</v>
      </c>
    </row>
    <row r="77" spans="1:4">
      <c r="A77" s="56" t="s">
        <v>45</v>
      </c>
      <c r="B77" t="s">
        <v>112</v>
      </c>
      <c r="C77" s="80">
        <v>0.08</v>
      </c>
      <c r="D77" s="64">
        <f>TRUNC(($D$76*C77),2)</f>
        <v>0.85</v>
      </c>
    </row>
    <row r="78" spans="1:4">
      <c r="A78" s="56" t="s">
        <v>48</v>
      </c>
      <c r="B78" s="81" t="s">
        <v>113</v>
      </c>
      <c r="C78" s="82">
        <f>(0.08*0.4*0.05)</f>
        <v>0.0016</v>
      </c>
      <c r="D78" s="78">
        <f t="shared" si="1"/>
        <v>4.12</v>
      </c>
    </row>
    <row r="79" spans="1:4">
      <c r="A79" s="56" t="s">
        <v>50</v>
      </c>
      <c r="B79" t="s">
        <v>114</v>
      </c>
      <c r="C79" s="83">
        <f>(((7/30)/12)*0.95)</f>
        <v>0.0184722222222222</v>
      </c>
      <c r="D79" s="84">
        <f t="shared" si="1"/>
        <v>47.57</v>
      </c>
    </row>
    <row r="80" ht="30" spans="1:4">
      <c r="A80" s="56" t="s">
        <v>53</v>
      </c>
      <c r="B80" s="81" t="s">
        <v>209</v>
      </c>
      <c r="C80" s="82">
        <f>C55</f>
        <v>0.398</v>
      </c>
      <c r="D80" s="78">
        <f>TRUNC(($D$79*C80),2)</f>
        <v>18.93</v>
      </c>
    </row>
    <row r="81" spans="1:4">
      <c r="A81" s="56" t="s">
        <v>55</v>
      </c>
      <c r="B81" s="81" t="s">
        <v>115</v>
      </c>
      <c r="C81" s="83">
        <f>(0.08*0.4*0.95)</f>
        <v>0.0304</v>
      </c>
      <c r="D81" s="85">
        <f>TRUNC(($D$31*C81),2)</f>
        <v>78.29</v>
      </c>
    </row>
    <row r="82" spans="1:4">
      <c r="A82" s="56" t="s">
        <v>58</v>
      </c>
      <c r="C82" s="80">
        <f>SUM(C76:C81)</f>
        <v>0.532638888888889</v>
      </c>
      <c r="D82" s="64">
        <f>TRUNC((SUM(D76:D81)),2)</f>
        <v>160.49</v>
      </c>
    </row>
    <row r="83" ht="15.75" spans="1:4">
      <c r="A83" s="56"/>
      <c r="D83" s="64"/>
    </row>
    <row r="84" ht="16.5" spans="1:4">
      <c r="A84" s="68" t="s">
        <v>210</v>
      </c>
      <c r="B84" s="68"/>
      <c r="C84" s="69" t="s">
        <v>202</v>
      </c>
      <c r="D84" s="70">
        <f>D31</f>
        <v>2575.36</v>
      </c>
    </row>
    <row r="85" ht="16.5" spans="1:4">
      <c r="A85" s="68"/>
      <c r="B85" s="68"/>
      <c r="C85" s="71" t="s">
        <v>211</v>
      </c>
      <c r="D85" s="70">
        <f>D72</f>
        <v>2089.89</v>
      </c>
    </row>
    <row r="86" ht="16.5" spans="1:4">
      <c r="A86" s="68"/>
      <c r="B86" s="68"/>
      <c r="C86" s="69" t="s">
        <v>212</v>
      </c>
      <c r="D86" s="70">
        <f>D82</f>
        <v>160.49</v>
      </c>
    </row>
    <row r="87" ht="16.5" spans="1:4">
      <c r="A87" s="68"/>
      <c r="B87" s="68"/>
      <c r="C87" s="71" t="s">
        <v>204</v>
      </c>
      <c r="D87" s="72">
        <f>TRUNC((SUM(D84:D86)),2)</f>
        <v>4825.74</v>
      </c>
    </row>
    <row r="88" ht="15.75" spans="1:4">
      <c r="A88" s="56"/>
      <c r="D88" s="64"/>
    </row>
    <row r="89" spans="1:4">
      <c r="A89" s="86" t="s">
        <v>127</v>
      </c>
      <c r="B89" s="86"/>
      <c r="C89" s="86"/>
      <c r="D89" s="86"/>
    </row>
    <row r="90" spans="1:4">
      <c r="A90" s="55" t="s">
        <v>128</v>
      </c>
      <c r="B90" s="55"/>
      <c r="C90" s="55"/>
      <c r="D90" s="55"/>
    </row>
    <row r="91" spans="1:4">
      <c r="A91" s="56" t="s">
        <v>129</v>
      </c>
      <c r="B91" s="61" t="s">
        <v>130</v>
      </c>
      <c r="C91" s="56" t="s">
        <v>38</v>
      </c>
      <c r="D91" s="56" t="s">
        <v>19</v>
      </c>
    </row>
    <row r="92" spans="1:4">
      <c r="A92" s="56" t="s">
        <v>42</v>
      </c>
      <c r="B92" t="s">
        <v>213</v>
      </c>
      <c r="C92" s="80">
        <f>(((1+1/3)/12)/12)+((1/12)/12)</f>
        <v>0.0162037037037037</v>
      </c>
      <c r="D92" s="64">
        <f>TRUNC(($D$87*C92),2)</f>
        <v>78.19</v>
      </c>
    </row>
    <row r="93" spans="1:4">
      <c r="A93" s="56" t="s">
        <v>45</v>
      </c>
      <c r="B93" t="s">
        <v>133</v>
      </c>
      <c r="C93" s="74">
        <f>((2/30)/12)</f>
        <v>0.00555555555555556</v>
      </c>
      <c r="D93" s="78">
        <f t="shared" ref="D92:D96" si="2">TRUNC(($D$87*C93),2)</f>
        <v>26.8</v>
      </c>
    </row>
    <row r="94" spans="1:4">
      <c r="A94" s="56" t="s">
        <v>48</v>
      </c>
      <c r="B94" t="s">
        <v>134</v>
      </c>
      <c r="C94" s="74">
        <f>((5/30)/12)*0.02</f>
        <v>0.000277777777777778</v>
      </c>
      <c r="D94" s="78">
        <f t="shared" si="2"/>
        <v>1.34</v>
      </c>
    </row>
    <row r="95" spans="1:4">
      <c r="A95" s="76" t="s">
        <v>50</v>
      </c>
      <c r="B95" s="81" t="s">
        <v>135</v>
      </c>
      <c r="C95" s="82">
        <f>((15/30)/12)*0.08</f>
        <v>0.00333333333333333</v>
      </c>
      <c r="D95" s="78">
        <f t="shared" si="2"/>
        <v>16.08</v>
      </c>
    </row>
    <row r="96" spans="1:4">
      <c r="A96" s="56" t="s">
        <v>53</v>
      </c>
      <c r="B96" t="s">
        <v>136</v>
      </c>
      <c r="C96" s="74">
        <f>((1+1/3)/12)*0.03*((4/12))</f>
        <v>0.00111111111111111</v>
      </c>
      <c r="D96" s="78">
        <f t="shared" si="2"/>
        <v>5.36</v>
      </c>
    </row>
    <row r="97" spans="1:4">
      <c r="A97" s="56" t="s">
        <v>55</v>
      </c>
      <c r="B97" s="81" t="s">
        <v>214</v>
      </c>
      <c r="C97" s="87">
        <v>0</v>
      </c>
      <c r="D97" s="78">
        <f>TRUNC($D$87*C97)</f>
        <v>0</v>
      </c>
    </row>
    <row r="98" spans="1:4">
      <c r="A98" s="56" t="s">
        <v>58</v>
      </c>
      <c r="C98" s="80">
        <f>SUM(C92:C97)</f>
        <v>0.0264814814814815</v>
      </c>
      <c r="D98" s="64">
        <f>TRUNC((SUM(D92:D97)),2)</f>
        <v>127.77</v>
      </c>
    </row>
    <row r="99" spans="1:4">
      <c r="A99" s="56"/>
      <c r="C99" s="56"/>
      <c r="D99" s="64"/>
    </row>
    <row r="100" spans="1:4">
      <c r="A100" s="55" t="s">
        <v>144</v>
      </c>
      <c r="B100" s="55"/>
      <c r="C100" s="55"/>
      <c r="D100" s="55"/>
    </row>
    <row r="101" spans="1:4">
      <c r="A101" s="56" t="s">
        <v>145</v>
      </c>
      <c r="B101" s="61" t="s">
        <v>146</v>
      </c>
      <c r="C101" s="56" t="s">
        <v>18</v>
      </c>
      <c r="D101" s="56" t="s">
        <v>19</v>
      </c>
    </row>
    <row r="102" ht="105" spans="1:4">
      <c r="A102" s="76" t="s">
        <v>42</v>
      </c>
      <c r="B102" s="88" t="s">
        <v>147</v>
      </c>
      <c r="C102" s="89" t="s">
        <v>215</v>
      </c>
      <c r="D102" s="90" t="s">
        <v>216</v>
      </c>
    </row>
    <row r="103" spans="1:4">
      <c r="A103" s="56" t="s">
        <v>58</v>
      </c>
      <c r="C103" s="91"/>
      <c r="D103" s="92" t="str">
        <f>D102</f>
        <v>*=TRUNCAR(($D$86/220)*(1*(365/12))/2)</v>
      </c>
    </row>
    <row r="105" spans="1:4">
      <c r="A105" s="55" t="s">
        <v>148</v>
      </c>
      <c r="B105" s="55"/>
      <c r="C105" s="55"/>
      <c r="D105" s="55"/>
    </row>
    <row r="106" spans="1:4">
      <c r="A106" s="56" t="s">
        <v>149</v>
      </c>
      <c r="B106" s="61" t="s">
        <v>150</v>
      </c>
      <c r="C106" s="56" t="s">
        <v>18</v>
      </c>
      <c r="D106" s="56" t="s">
        <v>19</v>
      </c>
    </row>
    <row r="107" spans="1:4">
      <c r="A107" s="56" t="s">
        <v>129</v>
      </c>
      <c r="B107" t="s">
        <v>130</v>
      </c>
      <c r="D107" s="58">
        <f>D98</f>
        <v>127.77</v>
      </c>
    </row>
    <row r="108" spans="1:4">
      <c r="A108" s="56" t="s">
        <v>145</v>
      </c>
      <c r="B108" t="s">
        <v>151</v>
      </c>
      <c r="C108" s="61"/>
      <c r="D108" s="93"/>
    </row>
    <row r="109" ht="75" spans="1:4">
      <c r="A109" s="76" t="s">
        <v>58</v>
      </c>
      <c r="B109" s="77"/>
      <c r="C109" s="89" t="s">
        <v>217</v>
      </c>
      <c r="D109" s="94">
        <f>TRUNC((SUM(D107:D108)),2)</f>
        <v>127.77</v>
      </c>
    </row>
    <row r="111" spans="1:4">
      <c r="A111" s="39" t="s">
        <v>152</v>
      </c>
      <c r="B111" s="39"/>
      <c r="C111" s="39"/>
      <c r="D111" s="39"/>
    </row>
    <row r="112" spans="1:4">
      <c r="A112" s="76" t="s">
        <v>153</v>
      </c>
      <c r="B112" s="77" t="s">
        <v>154</v>
      </c>
      <c r="C112" s="76" t="s">
        <v>18</v>
      </c>
      <c r="D112" s="76" t="s">
        <v>19</v>
      </c>
    </row>
    <row r="113" spans="1:4">
      <c r="A113" s="56" t="s">
        <v>42</v>
      </c>
      <c r="B113" t="s">
        <v>218</v>
      </c>
      <c r="D113" s="95">
        <f>Uniformes!G12</f>
        <v>87.37</v>
      </c>
    </row>
    <row r="114" spans="1:4">
      <c r="A114" s="56" t="s">
        <v>45</v>
      </c>
      <c r="B114" t="s">
        <v>219</v>
      </c>
      <c r="D114" s="58">
        <v>0</v>
      </c>
    </row>
    <row r="115" spans="1:4">
      <c r="A115" s="56" t="s">
        <v>48</v>
      </c>
      <c r="B115" t="s">
        <v>156</v>
      </c>
      <c r="D115" s="58">
        <v>0</v>
      </c>
    </row>
    <row r="116" spans="1:4">
      <c r="A116" s="56" t="s">
        <v>50</v>
      </c>
      <c r="B116" t="s">
        <v>157</v>
      </c>
      <c r="D116" s="58">
        <v>0</v>
      </c>
    </row>
    <row r="117" spans="1:4">
      <c r="A117" s="56" t="s">
        <v>53</v>
      </c>
      <c r="B117" t="s">
        <v>220</v>
      </c>
      <c r="C117" s="56"/>
      <c r="D117" s="58">
        <v>0</v>
      </c>
    </row>
    <row r="118" spans="1:4">
      <c r="A118" s="56" t="s">
        <v>58</v>
      </c>
      <c r="D118" s="64">
        <f>TRUNC(SUM(D113:D117),2)</f>
        <v>87.37</v>
      </c>
    </row>
    <row r="119" ht="15.75"/>
    <row r="120" ht="16.5" spans="1:4">
      <c r="A120" s="68" t="s">
        <v>221</v>
      </c>
      <c r="B120" s="68"/>
      <c r="C120" s="69" t="s">
        <v>202</v>
      </c>
      <c r="D120" s="70">
        <f>D31</f>
        <v>2575.36</v>
      </c>
    </row>
    <row r="121" ht="16.5" spans="1:4">
      <c r="A121" s="68"/>
      <c r="B121" s="68"/>
      <c r="C121" s="71" t="s">
        <v>211</v>
      </c>
      <c r="D121" s="70">
        <f>D72</f>
        <v>2089.89</v>
      </c>
    </row>
    <row r="122" ht="16.5" spans="1:4">
      <c r="A122" s="68"/>
      <c r="B122" s="68"/>
      <c r="C122" s="69" t="s">
        <v>212</v>
      </c>
      <c r="D122" s="70">
        <f>D82</f>
        <v>160.49</v>
      </c>
    </row>
    <row r="123" spans="1:4">
      <c r="A123" s="68"/>
      <c r="B123" s="68"/>
      <c r="C123" s="71" t="s">
        <v>222</v>
      </c>
      <c r="D123" s="70">
        <f>D109</f>
        <v>127.77</v>
      </c>
    </row>
    <row r="124" spans="1:4">
      <c r="A124" s="68"/>
      <c r="B124" s="68"/>
      <c r="C124" s="69" t="s">
        <v>223</v>
      </c>
      <c r="D124" s="70">
        <f>D118</f>
        <v>87.37</v>
      </c>
    </row>
    <row r="125" spans="1:4">
      <c r="A125" s="68"/>
      <c r="B125" s="68"/>
      <c r="C125" s="71" t="s">
        <v>204</v>
      </c>
      <c r="D125" s="72">
        <f>TRUNC((SUM(D120:D124)),2)</f>
        <v>5040.88</v>
      </c>
    </row>
    <row r="126" ht="15.75"/>
    <row r="127" spans="1:4">
      <c r="A127" s="39" t="s">
        <v>164</v>
      </c>
      <c r="B127" s="39"/>
      <c r="C127" s="39"/>
      <c r="D127" s="39"/>
    </row>
    <row r="128" spans="1:7">
      <c r="A128" s="56" t="s">
        <v>165</v>
      </c>
      <c r="B128" t="s">
        <v>166</v>
      </c>
      <c r="C128" s="56" t="s">
        <v>38</v>
      </c>
      <c r="D128" s="56" t="s">
        <v>19</v>
      </c>
      <c r="F128" s="96" t="s">
        <v>224</v>
      </c>
      <c r="G128" s="96"/>
    </row>
    <row r="129" ht="15.75" spans="1:7">
      <c r="A129" s="56" t="s">
        <v>42</v>
      </c>
      <c r="B129" t="s">
        <v>167</v>
      </c>
      <c r="C129" s="97">
        <v>0.0404</v>
      </c>
      <c r="D129" s="95">
        <f>TRUNC(($D$125*C129),2)</f>
        <v>203.65</v>
      </c>
      <c r="F129" s="98" t="s">
        <v>225</v>
      </c>
      <c r="G129" s="82">
        <f>C131</f>
        <v>0.0865</v>
      </c>
    </row>
    <row r="130" ht="15.75" spans="1:7">
      <c r="A130" s="56" t="s">
        <v>45</v>
      </c>
      <c r="B130" t="s">
        <v>59</v>
      </c>
      <c r="C130" s="97">
        <v>0.035</v>
      </c>
      <c r="D130" s="95">
        <f>TRUNC((C130*(D125+D129)),2)</f>
        <v>183.55</v>
      </c>
      <c r="F130" s="99" t="s">
        <v>226</v>
      </c>
      <c r="G130" s="100">
        <f>TRUNC(SUM(D125,D129,D130),2)</f>
        <v>5428.08</v>
      </c>
    </row>
    <row r="131" spans="1:7">
      <c r="A131" s="56" t="s">
        <v>48</v>
      </c>
      <c r="B131" t="s">
        <v>168</v>
      </c>
      <c r="C131" s="74">
        <f>SUM(C132:C134)</f>
        <v>0.0865</v>
      </c>
      <c r="D131" s="58">
        <f>SUM(D132:D134)</f>
        <v>513.98</v>
      </c>
      <c r="F131" s="98" t="s">
        <v>227</v>
      </c>
      <c r="G131" s="101">
        <f>(100-8.65)/100</f>
        <v>0.9135</v>
      </c>
    </row>
    <row r="132" ht="15.75" spans="1:7">
      <c r="A132" s="56"/>
      <c r="B132" t="s">
        <v>228</v>
      </c>
      <c r="C132" s="74">
        <v>0.0065</v>
      </c>
      <c r="D132" s="58">
        <f t="shared" ref="D132:D134" si="3">TRUNC(($G$132*C132),2)</f>
        <v>38.62</v>
      </c>
      <c r="F132" s="99" t="s">
        <v>224</v>
      </c>
      <c r="G132" s="100">
        <f>TRUNC((G130/G131),2)</f>
        <v>5942.06</v>
      </c>
    </row>
    <row r="133" ht="15.75" spans="1:4">
      <c r="A133" s="56"/>
      <c r="B133" t="s">
        <v>229</v>
      </c>
      <c r="C133" s="74">
        <v>0.03</v>
      </c>
      <c r="D133" s="58">
        <f t="shared" si="3"/>
        <v>178.26</v>
      </c>
    </row>
    <row r="134" spans="1:4">
      <c r="A134" s="56"/>
      <c r="B134" t="s">
        <v>230</v>
      </c>
      <c r="C134" s="74">
        <v>0.05</v>
      </c>
      <c r="D134" s="58">
        <f t="shared" si="3"/>
        <v>297.1</v>
      </c>
    </row>
    <row r="135" spans="1:4">
      <c r="A135" s="56" t="s">
        <v>58</v>
      </c>
      <c r="B135" s="102"/>
      <c r="C135" s="103"/>
      <c r="D135" s="64">
        <f>SUM(D129:D131)</f>
        <v>901.18</v>
      </c>
    </row>
    <row r="136" spans="1:4">
      <c r="A136" s="56"/>
      <c r="C136" s="103"/>
      <c r="D136" s="64"/>
    </row>
    <row r="138" spans="1:4">
      <c r="A138" s="39" t="s">
        <v>172</v>
      </c>
      <c r="B138" s="39"/>
      <c r="C138" s="39"/>
      <c r="D138" s="39"/>
    </row>
    <row r="139" spans="1:4">
      <c r="A139" s="56" t="s">
        <v>16</v>
      </c>
      <c r="B139" s="56" t="s">
        <v>173</v>
      </c>
      <c r="C139" s="56" t="s">
        <v>102</v>
      </c>
      <c r="D139" s="56" t="s">
        <v>19</v>
      </c>
    </row>
    <row r="140" spans="1:4">
      <c r="A140" s="56" t="s">
        <v>42</v>
      </c>
      <c r="B140" t="s">
        <v>36</v>
      </c>
      <c r="D140" s="64">
        <f>D31</f>
        <v>2575.36</v>
      </c>
    </row>
    <row r="141" spans="1:4">
      <c r="A141" s="56" t="s">
        <v>45</v>
      </c>
      <c r="B141" t="s">
        <v>61</v>
      </c>
      <c r="D141" s="64">
        <f>D72</f>
        <v>2089.89</v>
      </c>
    </row>
    <row r="142" spans="1:4">
      <c r="A142" s="56" t="s">
        <v>48</v>
      </c>
      <c r="B142" t="s">
        <v>108</v>
      </c>
      <c r="D142" s="64">
        <f>D82</f>
        <v>160.49</v>
      </c>
    </row>
    <row r="143" spans="1:4">
      <c r="A143" s="56" t="s">
        <v>50</v>
      </c>
      <c r="B143" t="s">
        <v>174</v>
      </c>
      <c r="D143" s="64">
        <f>D109</f>
        <v>127.77</v>
      </c>
    </row>
    <row r="144" spans="1:4">
      <c r="A144" s="56" t="s">
        <v>53</v>
      </c>
      <c r="B144" t="s">
        <v>152</v>
      </c>
      <c r="D144" s="64">
        <f>D118</f>
        <v>87.37</v>
      </c>
    </row>
    <row r="145" spans="2:4">
      <c r="B145" s="104" t="s">
        <v>175</v>
      </c>
      <c r="D145" s="64">
        <f>SUM(D140:D144)</f>
        <v>5040.88</v>
      </c>
    </row>
    <row r="146" spans="1:4">
      <c r="A146" s="56" t="s">
        <v>55</v>
      </c>
      <c r="B146" t="s">
        <v>164</v>
      </c>
      <c r="D146" s="64">
        <f>D135</f>
        <v>901.18</v>
      </c>
    </row>
    <row r="147" spans="1:4">
      <c r="A147" s="105"/>
      <c r="B147" s="106" t="s">
        <v>231</v>
      </c>
      <c r="C147" s="105"/>
      <c r="D147" s="107">
        <f>TRUNC((SUM(D140:D144)+D146),2)</f>
        <v>5942.06</v>
      </c>
    </row>
  </sheetData>
  <mergeCells count="33">
    <mergeCell ref="A2:D2"/>
    <mergeCell ref="A3:D3"/>
    <mergeCell ref="A6:D6"/>
    <mergeCell ref="C7:D7"/>
    <mergeCell ref="C8:D8"/>
    <mergeCell ref="C9:D9"/>
    <mergeCell ref="C10:D10"/>
    <mergeCell ref="A11:D11"/>
    <mergeCell ref="A12:B12"/>
    <mergeCell ref="A13:B13"/>
    <mergeCell ref="A14:B14"/>
    <mergeCell ref="A15:D15"/>
    <mergeCell ref="F15:G15"/>
    <mergeCell ref="F22:G22"/>
    <mergeCell ref="A23:D23"/>
    <mergeCell ref="F31:G31"/>
    <mergeCell ref="A33:D33"/>
    <mergeCell ref="A35:D35"/>
    <mergeCell ref="A45:D45"/>
    <mergeCell ref="A57:D57"/>
    <mergeCell ref="A67:D67"/>
    <mergeCell ref="A74:D74"/>
    <mergeCell ref="A89:D89"/>
    <mergeCell ref="A90:D90"/>
    <mergeCell ref="A100:D100"/>
    <mergeCell ref="A105:D105"/>
    <mergeCell ref="A111:D111"/>
    <mergeCell ref="A127:D127"/>
    <mergeCell ref="F128:G128"/>
    <mergeCell ref="A138:D138"/>
    <mergeCell ref="A41:B43"/>
    <mergeCell ref="A84:B87"/>
    <mergeCell ref="A120:B125"/>
  </mergeCells>
  <pageMargins left="0.75" right="0.75" top="1" bottom="1" header="0.5" footer="0.5"/>
  <pageSetup paperSize="9" orientation="landscape"/>
  <headerFooter/>
  <tableParts count="13">
    <tablePart r:id="rId1"/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</tableParts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H13"/>
  <sheetViews>
    <sheetView zoomScale="90" zoomScaleNormal="90" workbookViewId="0">
      <selection activeCell="L11" sqref="L11"/>
    </sheetView>
  </sheetViews>
  <sheetFormatPr defaultColWidth="9.14285714285714" defaultRowHeight="15" outlineLevelCol="7"/>
  <cols>
    <col min="2" max="2" width="13.1619047619048" style="13" customWidth="1"/>
    <col min="3" max="3" width="39.3619047619048" customWidth="1"/>
    <col min="4" max="4" width="13.4571428571429" style="14" customWidth="1"/>
    <col min="5" max="5" width="9.71428571428571" customWidth="1"/>
    <col min="6" max="6" width="14.5619047619048" customWidth="1"/>
    <col min="7" max="7" width="14.0761904761905" customWidth="1"/>
    <col min="8" max="8" width="15.0571428571429" customWidth="1"/>
  </cols>
  <sheetData>
    <row r="2" spans="1:8">
      <c r="A2" s="15" t="s">
        <v>243</v>
      </c>
      <c r="B2" s="16"/>
      <c r="C2" s="15"/>
      <c r="D2" s="17"/>
      <c r="E2" s="15"/>
      <c r="F2" s="15"/>
      <c r="G2" s="15"/>
      <c r="H2" s="15"/>
    </row>
    <row r="3" spans="1:8">
      <c r="A3" s="18" t="s">
        <v>244</v>
      </c>
      <c r="B3" s="19"/>
      <c r="C3" s="18"/>
      <c r="D3" s="20"/>
      <c r="E3" s="18"/>
      <c r="F3" s="18"/>
      <c r="G3" s="18"/>
      <c r="H3" s="18"/>
    </row>
    <row r="4" ht="60" spans="1:8">
      <c r="A4" s="21" t="s">
        <v>245</v>
      </c>
      <c r="B4" s="21" t="s">
        <v>246</v>
      </c>
      <c r="C4" s="21" t="s">
        <v>247</v>
      </c>
      <c r="D4" s="21" t="s">
        <v>248</v>
      </c>
      <c r="E4" s="21" t="s">
        <v>249</v>
      </c>
      <c r="F4" s="21" t="s">
        <v>250</v>
      </c>
      <c r="G4" s="21" t="s">
        <v>251</v>
      </c>
      <c r="H4" s="21" t="s">
        <v>252</v>
      </c>
    </row>
    <row r="5" ht="30" spans="1:8">
      <c r="A5" s="22">
        <v>1</v>
      </c>
      <c r="B5" s="23" t="s">
        <v>253</v>
      </c>
      <c r="C5" s="24" t="s">
        <v>254</v>
      </c>
      <c r="D5" s="23" t="s">
        <v>255</v>
      </c>
      <c r="E5" s="25">
        <v>77.08</v>
      </c>
      <c r="F5" s="23">
        <v>4</v>
      </c>
      <c r="G5" s="26">
        <f t="shared" ref="G5:G11" si="0">TRUNC(F5*E5,2)</f>
        <v>308.32</v>
      </c>
      <c r="H5" s="26">
        <f>TRUNC(G5/12,2)</f>
        <v>25.69</v>
      </c>
    </row>
    <row r="6" ht="45" spans="1:8">
      <c r="A6" s="22">
        <v>2</v>
      </c>
      <c r="B6" s="23" t="s">
        <v>256</v>
      </c>
      <c r="C6" s="24" t="s">
        <v>257</v>
      </c>
      <c r="D6" s="23" t="s">
        <v>255</v>
      </c>
      <c r="E6" s="25">
        <v>81.95</v>
      </c>
      <c r="F6" s="23">
        <v>2</v>
      </c>
      <c r="G6" s="26">
        <f t="shared" si="0"/>
        <v>163.9</v>
      </c>
      <c r="H6" s="26">
        <f t="shared" ref="H6:H11" si="1">TRUNC(G6/12,2)</f>
        <v>13.65</v>
      </c>
    </row>
    <row r="7" ht="60" spans="1:8">
      <c r="A7" s="22">
        <v>3</v>
      </c>
      <c r="B7" s="23" t="s">
        <v>258</v>
      </c>
      <c r="C7" s="24" t="s">
        <v>259</v>
      </c>
      <c r="D7" s="23" t="s">
        <v>255</v>
      </c>
      <c r="E7" s="25">
        <v>57.86</v>
      </c>
      <c r="F7" s="23">
        <v>4</v>
      </c>
      <c r="G7" s="26">
        <f t="shared" si="0"/>
        <v>231.44</v>
      </c>
      <c r="H7" s="26">
        <f t="shared" si="1"/>
        <v>19.28</v>
      </c>
    </row>
    <row r="8" ht="60" spans="1:8">
      <c r="A8" s="22">
        <v>4</v>
      </c>
      <c r="B8" s="23" t="s">
        <v>258</v>
      </c>
      <c r="C8" s="24" t="s">
        <v>260</v>
      </c>
      <c r="D8" s="23" t="s">
        <v>255</v>
      </c>
      <c r="E8" s="25">
        <v>39.32</v>
      </c>
      <c r="F8" s="23">
        <v>4</v>
      </c>
      <c r="G8" s="26">
        <f t="shared" si="0"/>
        <v>157.28</v>
      </c>
      <c r="H8" s="26">
        <f t="shared" si="1"/>
        <v>13.1</v>
      </c>
    </row>
    <row r="9" ht="30" spans="1:8">
      <c r="A9" s="22">
        <v>5</v>
      </c>
      <c r="B9" s="23" t="s">
        <v>261</v>
      </c>
      <c r="C9" s="24" t="s">
        <v>262</v>
      </c>
      <c r="D9" s="23" t="s">
        <v>263</v>
      </c>
      <c r="E9" s="25">
        <v>62.96</v>
      </c>
      <c r="F9" s="23">
        <v>2</v>
      </c>
      <c r="G9" s="26">
        <f t="shared" si="0"/>
        <v>125.92</v>
      </c>
      <c r="H9" s="26">
        <f t="shared" si="1"/>
        <v>10.49</v>
      </c>
    </row>
    <row r="10" ht="45" spans="1:8">
      <c r="A10" s="22">
        <v>6</v>
      </c>
      <c r="B10" s="23" t="s">
        <v>264</v>
      </c>
      <c r="C10" s="24" t="s">
        <v>265</v>
      </c>
      <c r="D10" s="23" t="s">
        <v>263</v>
      </c>
      <c r="E10" s="25">
        <v>14.4</v>
      </c>
      <c r="F10" s="23">
        <v>4</v>
      </c>
      <c r="G10" s="26">
        <f t="shared" si="0"/>
        <v>57.6</v>
      </c>
      <c r="H10" s="26">
        <f t="shared" si="1"/>
        <v>4.8</v>
      </c>
    </row>
    <row r="11" ht="45" spans="1:8">
      <c r="A11" s="22">
        <v>7</v>
      </c>
      <c r="B11" s="23" t="s">
        <v>266</v>
      </c>
      <c r="C11" s="24" t="s">
        <v>267</v>
      </c>
      <c r="D11" s="23" t="s">
        <v>255</v>
      </c>
      <c r="E11" s="25">
        <v>4.36</v>
      </c>
      <c r="F11" s="23">
        <v>1</v>
      </c>
      <c r="G11" s="26">
        <f t="shared" si="0"/>
        <v>4.36</v>
      </c>
      <c r="H11" s="26">
        <f t="shared" si="1"/>
        <v>0.36</v>
      </c>
    </row>
    <row r="12" spans="1:8">
      <c r="A12" s="27" t="s">
        <v>204</v>
      </c>
      <c r="B12" s="27"/>
      <c r="C12" s="27"/>
      <c r="D12" s="27"/>
      <c r="E12" s="27"/>
      <c r="F12" s="27"/>
      <c r="G12" s="28">
        <f>TRUNC(SUM(H5:H11),2)</f>
        <v>87.37</v>
      </c>
      <c r="H12" s="28"/>
    </row>
    <row r="13" spans="1:8">
      <c r="A13" s="29"/>
      <c r="B13" s="30"/>
      <c r="C13" s="29"/>
      <c r="D13" s="31"/>
      <c r="E13" s="29"/>
      <c r="F13" s="29"/>
      <c r="G13" s="29"/>
      <c r="H13" s="29"/>
    </row>
  </sheetData>
  <mergeCells count="4">
    <mergeCell ref="A2:H2"/>
    <mergeCell ref="A3:H3"/>
    <mergeCell ref="A12:F12"/>
    <mergeCell ref="G12:H12"/>
  </mergeCells>
  <pageMargins left="0.75" right="0.75" top="1" bottom="1" header="0.5" footer="0.5"/>
  <pageSetup paperSize="9" orientation="portrait"/>
  <headerFooter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LibreOffice/6.1.5.2$Windows_X86_64 LibreOffice_project/90f8dcf33c87b3705e78202e3df5142b201bd805</Application>
  <HeadingPairs>
    <vt:vector size="2" baseType="variant">
      <vt:variant>
        <vt:lpstr>工作表</vt:lpstr>
      </vt:variant>
      <vt:variant>
        <vt:i4>10</vt:i4>
      </vt:variant>
    </vt:vector>
  </HeadingPairs>
  <TitlesOfParts>
    <vt:vector size="10" baseType="lpstr">
      <vt:lpstr>Orientações</vt:lpstr>
      <vt:lpstr>Servente</vt:lpstr>
      <vt:lpstr>Tradutor-Intérprete</vt:lpstr>
      <vt:lpstr>Transcritor Braille</vt:lpstr>
      <vt:lpstr>Cuidador</vt:lpstr>
      <vt:lpstr>Audiodescritor</vt:lpstr>
      <vt:lpstr>Alfabetizador EJA</vt:lpstr>
      <vt:lpstr>Psicopedagogo</vt:lpstr>
      <vt:lpstr>Uniformes</vt:lpstr>
      <vt:lpstr>RESUMO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Carlos</dc:creator>
  <cp:lastModifiedBy>IFPB</cp:lastModifiedBy>
  <cp:revision>3</cp:revision>
  <dcterms:created xsi:type="dcterms:W3CDTF">2019-02-19T21:25:00Z</dcterms:created>
  <cp:lastPrinted>2020-02-20T19:26:00Z</cp:lastPrinted>
  <dcterms:modified xsi:type="dcterms:W3CDTF">2021-09-29T15:59:00Z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KSOProductBuildVer">
    <vt:lpwstr>1046-11.2.0.10323</vt:lpwstr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  <property fmtid="{D5CDD505-2E9C-101B-9397-08002B2CF9AE}" pid="9" name="ICV">
    <vt:lpwstr>3F502D766AC546199F5467CE7D93E006</vt:lpwstr>
  </property>
</Properties>
</file>